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filterPrivacy="1" defaultThemeVersion="166925"/>
  <xr:revisionPtr revIDLastSave="1075" documentId="8_{86AD906F-15D1-483D-9AE8-1BDC4CBD949B}" xr6:coauthVersionLast="47" xr6:coauthVersionMax="47" xr10:uidLastSave="{8934927D-5050-4039-9A83-E510F42E54C8}"/>
  <bookViews>
    <workbookView xWindow="-108" yWindow="-108" windowWidth="23256" windowHeight="12576" tabRatio="930" xr2:uid="{625F9F41-B1EF-4530-9112-AB58CCB5FEF7}"/>
  </bookViews>
  <sheets>
    <sheet name="Overview" sheetId="9" r:id="rId1"/>
    <sheet name="Story in charts" sheetId="10" r:id="rId2"/>
    <sheet name="Balance Sheet" sheetId="2" r:id="rId3"/>
    <sheet name="P&amp;L" sheetId="3" r:id="rId4"/>
    <sheet name="AUM" sheetId="1" r:id="rId5"/>
    <sheet name="Pro forma business wise P&amp;L" sheetId="4" r:id="rId6"/>
    <sheet name="Asset quality " sheetId="5" r:id="rId7"/>
    <sheet name="P&amp;L - SEBI Format" sheetId="6" r:id="rId8"/>
    <sheet name="P&amp;L Bridge" sheetId="7" r:id="rId9"/>
    <sheet name="Glossary" sheetId="12" r:id="rId10"/>
    <sheet name="Data_Key Charts" sheetId="11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6" i="7" l="1"/>
  <c r="V25" i="7"/>
  <c r="V24" i="7"/>
  <c r="V23" i="7"/>
  <c r="V22" i="7"/>
  <c r="V21" i="7"/>
  <c r="V20" i="7"/>
  <c r="V33" i="7"/>
  <c r="V32" i="7"/>
  <c r="V31" i="7"/>
  <c r="Q80" i="11"/>
  <c r="M49" i="7"/>
  <c r="L49" i="7"/>
  <c r="Q44" i="11"/>
  <c r="Q43" i="11"/>
  <c r="Q42" i="11"/>
  <c r="Q41" i="11"/>
  <c r="Q40" i="11"/>
  <c r="Q39" i="11"/>
  <c r="Q38" i="11"/>
  <c r="P44" i="11"/>
  <c r="P43" i="11"/>
  <c r="P42" i="11"/>
  <c r="P41" i="11"/>
  <c r="P40" i="11"/>
  <c r="P39" i="11"/>
  <c r="P38" i="11"/>
  <c r="J111" i="11" l="1"/>
  <c r="K111" i="11"/>
  <c r="L111" i="11"/>
  <c r="M111" i="11"/>
  <c r="N111" i="11"/>
  <c r="O111" i="11"/>
  <c r="P111" i="11"/>
  <c r="Q111" i="11"/>
  <c r="J112" i="11"/>
  <c r="K112" i="11"/>
  <c r="L112" i="11"/>
  <c r="M112" i="11"/>
  <c r="N112" i="11"/>
  <c r="O112" i="11"/>
  <c r="P112" i="11"/>
  <c r="Q112" i="11"/>
  <c r="J113" i="11"/>
  <c r="K113" i="11"/>
  <c r="L113" i="11"/>
  <c r="M113" i="11"/>
  <c r="N113" i="11"/>
  <c r="O113" i="11"/>
  <c r="P113" i="11"/>
  <c r="Q113" i="11"/>
  <c r="I113" i="11"/>
  <c r="I112" i="11"/>
  <c r="I111" i="11"/>
  <c r="J108" i="11"/>
  <c r="K108" i="11"/>
  <c r="L108" i="11"/>
  <c r="M108" i="11"/>
  <c r="N108" i="11"/>
  <c r="O108" i="11"/>
  <c r="P108" i="11"/>
  <c r="Q108" i="11"/>
  <c r="I108" i="11"/>
  <c r="J103" i="11"/>
  <c r="K103" i="11"/>
  <c r="L103" i="11"/>
  <c r="M103" i="11"/>
  <c r="N103" i="11"/>
  <c r="O103" i="11"/>
  <c r="P103" i="11"/>
  <c r="Q103" i="11"/>
  <c r="J104" i="11"/>
  <c r="K104" i="11"/>
  <c r="L104" i="11"/>
  <c r="M104" i="11"/>
  <c r="N104" i="11"/>
  <c r="O104" i="11"/>
  <c r="P104" i="11"/>
  <c r="Q104" i="11"/>
  <c r="J105" i="11"/>
  <c r="K105" i="11"/>
  <c r="L105" i="11"/>
  <c r="M105" i="11"/>
  <c r="N105" i="11"/>
  <c r="O105" i="11"/>
  <c r="P105" i="11"/>
  <c r="Q105" i="11"/>
  <c r="I105" i="11"/>
  <c r="I104" i="11"/>
  <c r="I103" i="11"/>
  <c r="J100" i="11"/>
  <c r="K100" i="11"/>
  <c r="L100" i="11"/>
  <c r="M100" i="11"/>
  <c r="N100" i="11"/>
  <c r="O100" i="11"/>
  <c r="P100" i="11"/>
  <c r="Q100" i="11"/>
  <c r="I100" i="11"/>
  <c r="J97" i="11"/>
  <c r="K97" i="11"/>
  <c r="L97" i="11"/>
  <c r="M97" i="11"/>
  <c r="N97" i="11"/>
  <c r="O97" i="11"/>
  <c r="P97" i="11"/>
  <c r="Q97" i="11"/>
  <c r="I97" i="11"/>
  <c r="J89" i="11"/>
  <c r="K89" i="11"/>
  <c r="L89" i="11"/>
  <c r="M89" i="11"/>
  <c r="N89" i="11"/>
  <c r="O89" i="11"/>
  <c r="P89" i="11"/>
  <c r="Q89" i="11"/>
  <c r="J90" i="11"/>
  <c r="K90" i="11"/>
  <c r="L90" i="11"/>
  <c r="M90" i="11"/>
  <c r="N90" i="11"/>
  <c r="O90" i="11"/>
  <c r="P90" i="11"/>
  <c r="Q90" i="11"/>
  <c r="J91" i="11"/>
  <c r="K91" i="11"/>
  <c r="L91" i="11"/>
  <c r="M91" i="11"/>
  <c r="N91" i="11"/>
  <c r="O91" i="11"/>
  <c r="P91" i="11"/>
  <c r="Q91" i="11"/>
  <c r="I91" i="11"/>
  <c r="I90" i="11"/>
  <c r="A88" i="11"/>
  <c r="I89" i="11"/>
  <c r="A91" i="11"/>
  <c r="A90" i="11"/>
  <c r="A89" i="11"/>
  <c r="Q85" i="11"/>
  <c r="P85" i="11"/>
  <c r="O85" i="11"/>
  <c r="N85" i="11"/>
  <c r="M85" i="11"/>
  <c r="L85" i="11"/>
  <c r="K85" i="11"/>
  <c r="J85" i="11"/>
  <c r="Q50" i="11" l="1"/>
  <c r="Q21" i="11" s="1"/>
  <c r="Q49" i="11"/>
  <c r="Q48" i="11"/>
  <c r="Q36" i="11"/>
  <c r="Q20" i="11" s="1"/>
  <c r="Q35" i="11"/>
  <c r="Q34" i="11"/>
  <c r="Q33" i="11"/>
  <c r="Q32" i="11"/>
  <c r="Q31" i="11"/>
  <c r="Q30" i="11"/>
  <c r="Q29" i="11"/>
  <c r="J48" i="7"/>
  <c r="K48" i="7"/>
  <c r="Q3" i="11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Q48" i="7"/>
  <c r="P48" i="7"/>
  <c r="P49" i="7" s="1"/>
  <c r="O48" i="7"/>
  <c r="O49" i="7" s="1"/>
  <c r="N48" i="7"/>
  <c r="N49" i="7" s="1"/>
  <c r="Q49" i="7"/>
  <c r="Q47" i="7"/>
  <c r="Q44" i="7"/>
  <c r="Q43" i="7"/>
  <c r="Q50" i="7"/>
  <c r="Q41" i="7"/>
  <c r="Q39" i="7"/>
  <c r="Q38" i="7"/>
  <c r="Q35" i="7"/>
  <c r="Q33" i="7"/>
  <c r="Q30" i="7"/>
  <c r="Q34" i="7" s="1"/>
  <c r="Q24" i="7"/>
  <c r="Q27" i="7"/>
  <c r="U21" i="7"/>
  <c r="Q19" i="7"/>
  <c r="Q16" i="7"/>
  <c r="Q14" i="7"/>
  <c r="Q13" i="7"/>
  <c r="V8" i="7"/>
  <c r="V6" i="7"/>
  <c r="V5" i="7"/>
  <c r="Q52" i="11" l="1"/>
  <c r="Q53" i="11"/>
  <c r="Q22" i="11"/>
  <c r="Q25" i="11" s="1"/>
  <c r="Q54" i="11"/>
  <c r="Q42" i="7"/>
  <c r="Q26" i="7"/>
  <c r="Q15" i="7"/>
  <c r="Q24" i="11" l="1"/>
  <c r="Q10" i="7" l="1"/>
  <c r="Q4" i="7"/>
  <c r="Q9" i="7" s="1"/>
  <c r="V35" i="7"/>
  <c r="V30" i="7"/>
  <c r="V27" i="7"/>
  <c r="Q38" i="5"/>
  <c r="Q30" i="5"/>
  <c r="Q32" i="5" s="1"/>
  <c r="Q61" i="4"/>
  <c r="V61" i="4" s="1"/>
  <c r="Q60" i="4"/>
  <c r="V60" i="4" s="1"/>
  <c r="Q59" i="4"/>
  <c r="V59" i="4" s="1"/>
  <c r="Q58" i="4"/>
  <c r="V58" i="4" s="1"/>
  <c r="Q57" i="4"/>
  <c r="Q56" i="4"/>
  <c r="V56" i="4" s="1"/>
  <c r="Q55" i="4"/>
  <c r="Q54" i="4"/>
  <c r="Q53" i="4"/>
  <c r="Q52" i="4"/>
  <c r="Q51" i="4"/>
  <c r="Q50" i="4"/>
  <c r="Q49" i="4"/>
  <c r="Q48" i="4"/>
  <c r="Q38" i="4"/>
  <c r="Q34" i="4"/>
  <c r="Q39" i="4" s="1"/>
  <c r="Q41" i="4" s="1"/>
  <c r="V53" i="4"/>
  <c r="V52" i="4"/>
  <c r="V51" i="4"/>
  <c r="V49" i="4"/>
  <c r="V48" i="4"/>
  <c r="V34" i="7" l="1"/>
  <c r="Q45" i="4"/>
  <c r="V44" i="4" l="1"/>
  <c r="V43" i="4"/>
  <c r="V42" i="4"/>
  <c r="V40" i="4"/>
  <c r="V37" i="4"/>
  <c r="V36" i="4"/>
  <c r="V35" i="4"/>
  <c r="V33" i="4"/>
  <c r="V32" i="4"/>
  <c r="V20" i="4"/>
  <c r="V22" i="4"/>
  <c r="V23" i="4"/>
  <c r="V28" i="4"/>
  <c r="V19" i="4"/>
  <c r="Q24" i="4"/>
  <c r="Q21" i="4"/>
  <c r="V14" i="4"/>
  <c r="V13" i="4"/>
  <c r="V8" i="4"/>
  <c r="V7" i="4"/>
  <c r="V5" i="4"/>
  <c r="V4" i="4"/>
  <c r="Q15" i="4"/>
  <c r="Q9" i="4"/>
  <c r="Q6" i="4"/>
  <c r="Q10" i="4" s="1"/>
  <c r="Q25" i="4" l="1"/>
  <c r="Q27" i="4" s="1"/>
  <c r="Q29" i="4" s="1"/>
  <c r="Q12" i="4"/>
  <c r="V55" i="4"/>
  <c r="V57" i="4" l="1"/>
  <c r="Q16" i="4"/>
  <c r="V27" i="3"/>
  <c r="V26" i="3"/>
  <c r="V25" i="3"/>
  <c r="V24" i="3"/>
  <c r="V22" i="3"/>
  <c r="V21" i="3"/>
  <c r="V20" i="3"/>
  <c r="V19" i="3"/>
  <c r="V17" i="3"/>
  <c r="V16" i="3"/>
  <c r="V15" i="3"/>
  <c r="V14" i="3"/>
  <c r="V12" i="3"/>
  <c r="V11" i="3"/>
  <c r="V10" i="3"/>
  <c r="V9" i="3"/>
  <c r="V8" i="3"/>
  <c r="V6" i="3"/>
  <c r="V5" i="3"/>
  <c r="V4" i="3"/>
  <c r="L19" i="3"/>
  <c r="M24" i="3"/>
  <c r="M19" i="3"/>
  <c r="P19" i="3"/>
  <c r="O19" i="3"/>
  <c r="N19" i="3"/>
  <c r="Q27" i="3"/>
  <c r="Q22" i="3"/>
  <c r="Q17" i="3"/>
  <c r="Q16" i="3"/>
  <c r="Q15" i="3"/>
  <c r="Q14" i="3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14" i="6"/>
  <c r="V12" i="6"/>
  <c r="V11" i="6"/>
  <c r="V10" i="6"/>
  <c r="V9" i="6"/>
  <c r="V8" i="6"/>
  <c r="V7" i="6"/>
  <c r="V6" i="6"/>
  <c r="V5" i="6"/>
  <c r="V4" i="6"/>
  <c r="Q39" i="6"/>
  <c r="Q36" i="6"/>
  <c r="Q31" i="6"/>
  <c r="Q29" i="6" l="1"/>
  <c r="Q25" i="6"/>
  <c r="Q11" i="6"/>
  <c r="Q14" i="6" s="1"/>
  <c r="Q27" i="6" s="1"/>
  <c r="Q12" i="3"/>
  <c r="Q11" i="3"/>
  <c r="Q6" i="3"/>
  <c r="V6" i="2"/>
  <c r="V7" i="2"/>
  <c r="V8" i="2"/>
  <c r="V9" i="2"/>
  <c r="V10" i="2"/>
  <c r="V11" i="2"/>
  <c r="V12" i="2"/>
  <c r="V13" i="2"/>
  <c r="V16" i="2"/>
  <c r="V17" i="2"/>
  <c r="V18" i="2"/>
  <c r="V5" i="2"/>
  <c r="Q18" i="2"/>
  <c r="Q13" i="2"/>
  <c r="Q8" i="2"/>
  <c r="Q122" i="5" l="1"/>
  <c r="Q121" i="5"/>
  <c r="P122" i="5"/>
  <c r="P121" i="5"/>
  <c r="U16" i="1" l="1"/>
  <c r="S5" i="1" l="1"/>
  <c r="V121" i="5" l="1"/>
  <c r="V122" i="5"/>
  <c r="V116" i="5"/>
  <c r="V117" i="5"/>
  <c r="V112" i="5" l="1"/>
  <c r="V111" i="5"/>
  <c r="Q58" i="5"/>
  <c r="Q101" i="5" s="1"/>
  <c r="V101" i="5" s="1"/>
  <c r="Q57" i="5"/>
  <c r="Q100" i="5" s="1"/>
  <c r="V100" i="5" s="1"/>
  <c r="Q52" i="5"/>
  <c r="Q95" i="5" s="1"/>
  <c r="V95" i="5" s="1"/>
  <c r="Q50" i="5"/>
  <c r="Q49" i="5"/>
  <c r="V36" i="5"/>
  <c r="V37" i="5"/>
  <c r="V28" i="5"/>
  <c r="V29" i="5"/>
  <c r="V31" i="5"/>
  <c r="V15" i="5"/>
  <c r="V16" i="5"/>
  <c r="V14" i="5"/>
  <c r="V7" i="5"/>
  <c r="V8" i="5"/>
  <c r="V10" i="5"/>
  <c r="V6" i="5"/>
  <c r="Q22" i="5"/>
  <c r="V22" i="5" s="1"/>
  <c r="Q21" i="5"/>
  <c r="V21" i="5" s="1"/>
  <c r="Q20" i="5"/>
  <c r="V20" i="5" s="1"/>
  <c r="Q17" i="5"/>
  <c r="Q9" i="5"/>
  <c r="Q11" i="5" s="1"/>
  <c r="Q23" i="5" l="1"/>
  <c r="V23" i="5" s="1"/>
  <c r="Q64" i="5"/>
  <c r="V64" i="5" s="1"/>
  <c r="Q63" i="5"/>
  <c r="V63" i="5" s="1"/>
  <c r="V58" i="5"/>
  <c r="V57" i="5"/>
  <c r="V17" i="5"/>
  <c r="V52" i="5"/>
  <c r="Q115" i="5"/>
  <c r="V11" i="5"/>
  <c r="Q93" i="5"/>
  <c r="V93" i="5" s="1"/>
  <c r="Q92" i="5"/>
  <c r="V92" i="5" s="1"/>
  <c r="V49" i="5"/>
  <c r="V9" i="5"/>
  <c r="V50" i="5"/>
  <c r="Q107" i="5" l="1"/>
  <c r="V107" i="5" s="1"/>
  <c r="Q106" i="5"/>
  <c r="V106" i="5" s="1"/>
  <c r="V115" i="5"/>
  <c r="Q118" i="5"/>
  <c r="V118" i="5" s="1"/>
  <c r="V27" i="5"/>
  <c r="Q48" i="5"/>
  <c r="V30" i="5"/>
  <c r="Q56" i="5"/>
  <c r="V35" i="5"/>
  <c r="Q41" i="5"/>
  <c r="V41" i="5" s="1"/>
  <c r="V32" i="5"/>
  <c r="V79" i="5"/>
  <c r="V80" i="5"/>
  <c r="V78" i="5"/>
  <c r="V71" i="5"/>
  <c r="V72" i="5"/>
  <c r="V70" i="5"/>
  <c r="Q86" i="5"/>
  <c r="V86" i="5" s="1"/>
  <c r="Q85" i="5"/>
  <c r="V85" i="5" s="1"/>
  <c r="Q84" i="5"/>
  <c r="V84" i="5" s="1"/>
  <c r="Q81" i="5"/>
  <c r="V81" i="5" s="1"/>
  <c r="Q73" i="5"/>
  <c r="Q51" i="5" l="1"/>
  <c r="V48" i="5"/>
  <c r="Q91" i="5"/>
  <c r="V91" i="5" s="1"/>
  <c r="Q75" i="5"/>
  <c r="Q94" i="5"/>
  <c r="V94" i="5" s="1"/>
  <c r="Q87" i="5"/>
  <c r="V87" i="5" s="1"/>
  <c r="V73" i="5"/>
  <c r="V38" i="5"/>
  <c r="Q44" i="5"/>
  <c r="V44" i="5" s="1"/>
  <c r="Q59" i="5"/>
  <c r="Q99" i="5"/>
  <c r="Q62" i="5"/>
  <c r="V62" i="5" s="1"/>
  <c r="V56" i="5"/>
  <c r="V48" i="1"/>
  <c r="V42" i="1"/>
  <c r="V43" i="1"/>
  <c r="V44" i="1"/>
  <c r="V45" i="1"/>
  <c r="V46" i="1"/>
  <c r="V47" i="1"/>
  <c r="V41" i="1"/>
  <c r="V30" i="1"/>
  <c r="V29" i="1"/>
  <c r="V6" i="1"/>
  <c r="V7" i="1"/>
  <c r="V8" i="1"/>
  <c r="V9" i="1"/>
  <c r="V10" i="1"/>
  <c r="V11" i="1"/>
  <c r="V12" i="1"/>
  <c r="V13" i="1"/>
  <c r="V5" i="1"/>
  <c r="V16" i="1" s="1"/>
  <c r="Q49" i="1"/>
  <c r="Q4" i="11" s="1"/>
  <c r="Q31" i="1"/>
  <c r="Q57" i="11" l="1"/>
  <c r="Q53" i="5"/>
  <c r="V53" i="5" s="1"/>
  <c r="V51" i="5"/>
  <c r="V31" i="1"/>
  <c r="Q35" i="1"/>
  <c r="V35" i="1"/>
  <c r="V49" i="1"/>
  <c r="Q34" i="1"/>
  <c r="V75" i="5"/>
  <c r="Q105" i="5"/>
  <c r="V105" i="5" s="1"/>
  <c r="V99" i="5"/>
  <c r="Q102" i="5"/>
  <c r="Q65" i="5"/>
  <c r="V65" i="5" s="1"/>
  <c r="V59" i="5"/>
  <c r="V34" i="1"/>
  <c r="Q96" i="5" l="1"/>
  <c r="Q120" i="5" s="1"/>
  <c r="Q36" i="1"/>
  <c r="V36" i="1"/>
  <c r="Q108" i="5"/>
  <c r="V108" i="5" s="1"/>
  <c r="V102" i="5"/>
  <c r="Q14" i="1"/>
  <c r="V96" i="5" l="1"/>
  <c r="V120" i="5"/>
  <c r="Q123" i="5"/>
  <c r="V14" i="1"/>
  <c r="Q51" i="1"/>
  <c r="Q19" i="1"/>
  <c r="Q22" i="1"/>
  <c r="Q18" i="1"/>
  <c r="Q25" i="1"/>
  <c r="Q17" i="1"/>
  <c r="Q20" i="1"/>
  <c r="Q21" i="1"/>
  <c r="Q23" i="1"/>
  <c r="Q24" i="1"/>
  <c r="Q26" i="1"/>
  <c r="Q54" i="1" l="1"/>
  <c r="Q5" i="11"/>
  <c r="V123" i="5"/>
  <c r="Q58" i="1"/>
  <c r="Q59" i="1"/>
  <c r="Q55" i="1"/>
  <c r="Q56" i="1" s="1"/>
  <c r="V20" i="1"/>
  <c r="V25" i="1"/>
  <c r="V17" i="1"/>
  <c r="V22" i="1"/>
  <c r="V23" i="1"/>
  <c r="V21" i="1"/>
  <c r="V24" i="1"/>
  <c r="V51" i="1"/>
  <c r="V26" i="1"/>
  <c r="V19" i="1"/>
  <c r="V18" i="1"/>
  <c r="Q7" i="11" l="1"/>
  <c r="Q8" i="11"/>
  <c r="Q58" i="11"/>
  <c r="Q60" i="1"/>
  <c r="V59" i="1"/>
  <c r="V55" i="1"/>
  <c r="V54" i="1"/>
  <c r="V58" i="1"/>
  <c r="V60" i="1" s="1"/>
  <c r="V56" i="1" l="1"/>
  <c r="Q9" i="11"/>
  <c r="P14" i="5"/>
  <c r="P56" i="5" s="1"/>
  <c r="P15" i="5"/>
  <c r="P16" i="5"/>
  <c r="P6" i="5"/>
  <c r="P7" i="5"/>
  <c r="P49" i="5" s="1"/>
  <c r="P8" i="5"/>
  <c r="P22" i="5"/>
  <c r="P21" i="5"/>
  <c r="P20" i="5"/>
  <c r="P10" i="5"/>
  <c r="P7" i="7"/>
  <c r="V7" i="7" s="1"/>
  <c r="P11" i="4"/>
  <c r="P26" i="4"/>
  <c r="V26" i="4" s="1"/>
  <c r="P60" i="4"/>
  <c r="P59" i="4"/>
  <c r="P53" i="4"/>
  <c r="P52" i="4"/>
  <c r="P51" i="4"/>
  <c r="P49" i="4"/>
  <c r="P48" i="4"/>
  <c r="P34" i="4"/>
  <c r="P21" i="4"/>
  <c r="P30" i="5"/>
  <c r="P32" i="5" s="1"/>
  <c r="P48" i="11"/>
  <c r="P49" i="11"/>
  <c r="P29" i="11"/>
  <c r="P30" i="11"/>
  <c r="P31" i="11"/>
  <c r="P32" i="11"/>
  <c r="P33" i="11"/>
  <c r="P34" i="11"/>
  <c r="P13" i="1"/>
  <c r="P36" i="11"/>
  <c r="P20" i="11" s="1"/>
  <c r="P50" i="7"/>
  <c r="P38" i="7"/>
  <c r="P39" i="7"/>
  <c r="P41" i="7"/>
  <c r="P33" i="7"/>
  <c r="P30" i="7"/>
  <c r="P16" i="7"/>
  <c r="P14" i="7"/>
  <c r="P13" i="7"/>
  <c r="P15" i="7" s="1"/>
  <c r="P10" i="7"/>
  <c r="P4" i="7"/>
  <c r="J122" i="5"/>
  <c r="K122" i="5"/>
  <c r="L122" i="5"/>
  <c r="M122" i="5"/>
  <c r="N122" i="5"/>
  <c r="O122" i="5"/>
  <c r="K121" i="5"/>
  <c r="L121" i="5"/>
  <c r="M121" i="5"/>
  <c r="N121" i="5"/>
  <c r="O121" i="5"/>
  <c r="J121" i="5"/>
  <c r="J94" i="5"/>
  <c r="J96" i="5" s="1"/>
  <c r="J120" i="5" s="1"/>
  <c r="J123" i="5" s="1"/>
  <c r="K94" i="5"/>
  <c r="K96" i="5"/>
  <c r="K120" i="5" s="1"/>
  <c r="L94" i="5"/>
  <c r="L96" i="5" s="1"/>
  <c r="L120" i="5" s="1"/>
  <c r="M94" i="5"/>
  <c r="M108" i="5" s="1"/>
  <c r="U108" i="5" s="1"/>
  <c r="N94" i="5"/>
  <c r="N96" i="5"/>
  <c r="N120" i="5" s="1"/>
  <c r="O94" i="5"/>
  <c r="O96" i="5" s="1"/>
  <c r="O120" i="5" s="1"/>
  <c r="O123" i="5" s="1"/>
  <c r="P48" i="5"/>
  <c r="P50" i="5"/>
  <c r="P94" i="5"/>
  <c r="P52" i="5"/>
  <c r="P96" i="5"/>
  <c r="P120" i="5" s="1"/>
  <c r="P123" i="5" s="1"/>
  <c r="E14" i="5"/>
  <c r="E56" i="5" s="1"/>
  <c r="E6" i="5"/>
  <c r="E48" i="5" s="1"/>
  <c r="E15" i="5"/>
  <c r="E21" i="5" s="1"/>
  <c r="S21" i="5" s="1"/>
  <c r="E57" i="5"/>
  <c r="E16" i="5"/>
  <c r="E58" i="5" s="1"/>
  <c r="E7" i="5"/>
  <c r="E49" i="5" s="1"/>
  <c r="S49" i="5" s="1"/>
  <c r="E8" i="5"/>
  <c r="E50" i="5" s="1"/>
  <c r="S50" i="5" s="1"/>
  <c r="I14" i="5"/>
  <c r="I56" i="5" s="1"/>
  <c r="I15" i="5"/>
  <c r="I57" i="5" s="1"/>
  <c r="I16" i="5"/>
  <c r="I58" i="5" s="1"/>
  <c r="I6" i="5"/>
  <c r="I48" i="5"/>
  <c r="I7" i="5"/>
  <c r="I9" i="5" s="1"/>
  <c r="I49" i="5"/>
  <c r="T49" i="5" s="1"/>
  <c r="I8" i="5"/>
  <c r="I50" i="5"/>
  <c r="T50" i="5" s="1"/>
  <c r="M14" i="5"/>
  <c r="M56" i="5" s="1"/>
  <c r="M15" i="5"/>
  <c r="M57" i="5" s="1"/>
  <c r="M16" i="5"/>
  <c r="M6" i="5"/>
  <c r="M48" i="5" s="1"/>
  <c r="U48" i="5" s="1"/>
  <c r="M7" i="5"/>
  <c r="M9" i="5" s="1"/>
  <c r="M8" i="5"/>
  <c r="M50" i="5"/>
  <c r="P24" i="4"/>
  <c r="P25" i="4" s="1"/>
  <c r="P27" i="4" s="1"/>
  <c r="P29" i="4" s="1"/>
  <c r="P15" i="4"/>
  <c r="P58" i="4" s="1"/>
  <c r="P9" i="4"/>
  <c r="P6" i="4"/>
  <c r="P10" i="4" s="1"/>
  <c r="P49" i="1"/>
  <c r="O49" i="1"/>
  <c r="N49" i="1"/>
  <c r="P31" i="1"/>
  <c r="P34" i="1" s="1"/>
  <c r="P26" i="1"/>
  <c r="P25" i="1"/>
  <c r="P24" i="1"/>
  <c r="P23" i="1"/>
  <c r="P22" i="1"/>
  <c r="P21" i="1"/>
  <c r="P20" i="1"/>
  <c r="P19" i="1"/>
  <c r="P18" i="1"/>
  <c r="P17" i="1"/>
  <c r="P15" i="3"/>
  <c r="P16" i="3" s="1"/>
  <c r="P35" i="7" s="1"/>
  <c r="P14" i="3"/>
  <c r="P36" i="6"/>
  <c r="P25" i="6"/>
  <c r="P11" i="6"/>
  <c r="P14" i="6" s="1"/>
  <c r="S10" i="6"/>
  <c r="P6" i="3"/>
  <c r="P12" i="3" s="1"/>
  <c r="P11" i="3"/>
  <c r="P27" i="7" s="1"/>
  <c r="P18" i="2"/>
  <c r="P8" i="2"/>
  <c r="P13" i="2"/>
  <c r="E49" i="1"/>
  <c r="P57" i="5"/>
  <c r="P63" i="5" s="1"/>
  <c r="P58" i="5"/>
  <c r="P86" i="5"/>
  <c r="P85" i="5"/>
  <c r="P81" i="5"/>
  <c r="P84" i="5"/>
  <c r="P64" i="5"/>
  <c r="P106" i="5"/>
  <c r="P107" i="5"/>
  <c r="P41" i="5"/>
  <c r="P38" i="5"/>
  <c r="P73" i="5"/>
  <c r="P75" i="5" s="1"/>
  <c r="B38" i="5"/>
  <c r="U37" i="5"/>
  <c r="T37" i="5"/>
  <c r="S37" i="5"/>
  <c r="U36" i="5"/>
  <c r="T36" i="5"/>
  <c r="S36" i="5"/>
  <c r="U31" i="5"/>
  <c r="T31" i="5"/>
  <c r="S31" i="5"/>
  <c r="B30" i="5"/>
  <c r="U29" i="5"/>
  <c r="T29" i="5"/>
  <c r="S29" i="5"/>
  <c r="U28" i="5"/>
  <c r="T28" i="5"/>
  <c r="S28" i="5"/>
  <c r="O15" i="4"/>
  <c r="O58" i="4" s="1"/>
  <c r="N15" i="4"/>
  <c r="M15" i="4"/>
  <c r="M58" i="4" s="1"/>
  <c r="L15" i="4"/>
  <c r="K15" i="4"/>
  <c r="K58" i="4" s="1"/>
  <c r="J15" i="4"/>
  <c r="J58" i="4" s="1"/>
  <c r="I15" i="4"/>
  <c r="I58" i="4" s="1"/>
  <c r="H15" i="4"/>
  <c r="H58" i="4" s="1"/>
  <c r="G15" i="4"/>
  <c r="F15" i="4"/>
  <c r="C31" i="1"/>
  <c r="C41" i="1"/>
  <c r="C49" i="1" s="1"/>
  <c r="D31" i="1"/>
  <c r="D35" i="1" s="1"/>
  <c r="D41" i="1"/>
  <c r="D49" i="1" s="1"/>
  <c r="E31" i="1"/>
  <c r="E51" i="1" s="1"/>
  <c r="F31" i="1"/>
  <c r="F49" i="1"/>
  <c r="G31" i="1"/>
  <c r="G51" i="1" s="1"/>
  <c r="G49" i="1"/>
  <c r="H31" i="1"/>
  <c r="H51" i="1" s="1"/>
  <c r="H49" i="1"/>
  <c r="I31" i="1"/>
  <c r="I49" i="1"/>
  <c r="J31" i="1"/>
  <c r="J50" i="11" s="1"/>
  <c r="J49" i="1"/>
  <c r="K31" i="1"/>
  <c r="K35" i="1" s="1"/>
  <c r="K49" i="1"/>
  <c r="K51" i="1"/>
  <c r="K58" i="1" s="1"/>
  <c r="L31" i="1"/>
  <c r="L34" i="1" s="1"/>
  <c r="L49" i="1"/>
  <c r="M31" i="1"/>
  <c r="M49" i="1"/>
  <c r="U49" i="1" s="1"/>
  <c r="N31" i="1"/>
  <c r="N51" i="1"/>
  <c r="N58" i="1"/>
  <c r="O31" i="1"/>
  <c r="O51" i="1" s="1"/>
  <c r="S14" i="1"/>
  <c r="S18" i="1" s="1"/>
  <c r="S49" i="1"/>
  <c r="T14" i="1"/>
  <c r="T21" i="1" s="1"/>
  <c r="T31" i="1"/>
  <c r="T34" i="1" s="1"/>
  <c r="U14" i="1"/>
  <c r="U31" i="1"/>
  <c r="B31" i="1"/>
  <c r="B49" i="1"/>
  <c r="N59" i="1"/>
  <c r="N60" i="1" s="1"/>
  <c r="N54" i="1"/>
  <c r="N55" i="1"/>
  <c r="N56" i="1" s="1"/>
  <c r="P87" i="5"/>
  <c r="P105" i="5"/>
  <c r="P102" i="5"/>
  <c r="P108" i="5" s="1"/>
  <c r="U38" i="6"/>
  <c r="T38" i="6"/>
  <c r="S38" i="6"/>
  <c r="M15" i="3"/>
  <c r="M40" i="4"/>
  <c r="M56" i="4" s="1"/>
  <c r="M32" i="4"/>
  <c r="M37" i="4"/>
  <c r="L21" i="4"/>
  <c r="L24" i="4"/>
  <c r="L25" i="4" s="1"/>
  <c r="U121" i="5"/>
  <c r="T121" i="5"/>
  <c r="S121" i="5"/>
  <c r="U122" i="5"/>
  <c r="T122" i="5"/>
  <c r="S122" i="5"/>
  <c r="U117" i="5"/>
  <c r="T117" i="5"/>
  <c r="S117" i="5"/>
  <c r="U116" i="5"/>
  <c r="T116" i="5"/>
  <c r="S116" i="5"/>
  <c r="M13" i="1"/>
  <c r="E94" i="5"/>
  <c r="C13" i="1"/>
  <c r="B13" i="1"/>
  <c r="C6" i="5"/>
  <c r="C48" i="5"/>
  <c r="O41" i="7"/>
  <c r="N41" i="7"/>
  <c r="G60" i="4"/>
  <c r="H60" i="4"/>
  <c r="I60" i="4"/>
  <c r="J60" i="4"/>
  <c r="K60" i="4"/>
  <c r="L60" i="4"/>
  <c r="M60" i="4"/>
  <c r="N60" i="4"/>
  <c r="O60" i="4"/>
  <c r="F60" i="4"/>
  <c r="T60" i="4" s="1"/>
  <c r="G59" i="4"/>
  <c r="H59" i="4"/>
  <c r="I59" i="4"/>
  <c r="J59" i="4"/>
  <c r="K59" i="4"/>
  <c r="L59" i="4"/>
  <c r="M59" i="4"/>
  <c r="N59" i="4"/>
  <c r="O59" i="4"/>
  <c r="F59" i="4"/>
  <c r="T59" i="4" s="1"/>
  <c r="G56" i="4"/>
  <c r="H56" i="4"/>
  <c r="I56" i="4"/>
  <c r="J56" i="4"/>
  <c r="K56" i="4"/>
  <c r="L56" i="4"/>
  <c r="N56" i="4"/>
  <c r="O56" i="4"/>
  <c r="F56" i="4"/>
  <c r="G53" i="4"/>
  <c r="H53" i="4"/>
  <c r="I53" i="4"/>
  <c r="J53" i="4"/>
  <c r="K53" i="4"/>
  <c r="L53" i="4"/>
  <c r="M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G51" i="4"/>
  <c r="H51" i="4"/>
  <c r="I51" i="4"/>
  <c r="J51" i="4"/>
  <c r="K51" i="4"/>
  <c r="L51" i="4"/>
  <c r="M51" i="4"/>
  <c r="N51" i="4"/>
  <c r="O51" i="4"/>
  <c r="F51" i="4"/>
  <c r="O49" i="4"/>
  <c r="N49" i="4"/>
  <c r="M49" i="4"/>
  <c r="L49" i="4"/>
  <c r="K49" i="4"/>
  <c r="J49" i="4"/>
  <c r="U49" i="4" s="1"/>
  <c r="I49" i="4"/>
  <c r="H49" i="4"/>
  <c r="G49" i="4"/>
  <c r="F49" i="4"/>
  <c r="G48" i="4"/>
  <c r="H48" i="4"/>
  <c r="I48" i="4"/>
  <c r="J48" i="4"/>
  <c r="K48" i="4"/>
  <c r="L48" i="4"/>
  <c r="M48" i="4"/>
  <c r="N48" i="4"/>
  <c r="O48" i="4"/>
  <c r="F48" i="4"/>
  <c r="L38" i="4"/>
  <c r="K38" i="4"/>
  <c r="N38" i="4"/>
  <c r="J38" i="4"/>
  <c r="M38" i="4"/>
  <c r="G38" i="4"/>
  <c r="I38" i="4"/>
  <c r="H38" i="4"/>
  <c r="O38" i="4"/>
  <c r="K34" i="4"/>
  <c r="I34" i="4"/>
  <c r="H34" i="4"/>
  <c r="J34" i="4"/>
  <c r="G34" i="4"/>
  <c r="G39" i="4" s="1"/>
  <c r="G41" i="4" s="1"/>
  <c r="G45" i="4" s="1"/>
  <c r="L34" i="4"/>
  <c r="N34" i="4"/>
  <c r="M34" i="4"/>
  <c r="O34" i="4"/>
  <c r="U38" i="4"/>
  <c r="T38" i="4"/>
  <c r="S38" i="4"/>
  <c r="S39" i="4" s="1"/>
  <c r="F38" i="4"/>
  <c r="F58" i="4"/>
  <c r="A36" i="1"/>
  <c r="A35" i="1"/>
  <c r="A34" i="1"/>
  <c r="O13" i="1"/>
  <c r="K13" i="1"/>
  <c r="J13" i="1"/>
  <c r="I13" i="1"/>
  <c r="H13" i="1"/>
  <c r="G13" i="1"/>
  <c r="F13" i="1"/>
  <c r="E13" i="1"/>
  <c r="D13" i="1"/>
  <c r="U28" i="4"/>
  <c r="T28" i="4"/>
  <c r="O24" i="4"/>
  <c r="N24" i="4"/>
  <c r="M24" i="4"/>
  <c r="K24" i="4"/>
  <c r="J24" i="4"/>
  <c r="I24" i="4"/>
  <c r="H24" i="4"/>
  <c r="G24" i="4"/>
  <c r="F24" i="4"/>
  <c r="O9" i="4"/>
  <c r="N9" i="4"/>
  <c r="M9" i="4"/>
  <c r="L9" i="4"/>
  <c r="K9" i="4"/>
  <c r="J9" i="4"/>
  <c r="I9" i="4"/>
  <c r="H9" i="4"/>
  <c r="G9" i="4"/>
  <c r="F9" i="4"/>
  <c r="U14" i="4"/>
  <c r="T14" i="4"/>
  <c r="U13" i="4"/>
  <c r="T13" i="4"/>
  <c r="L58" i="4"/>
  <c r="G58" i="4"/>
  <c r="F34" i="4"/>
  <c r="U44" i="4"/>
  <c r="T44" i="4"/>
  <c r="U43" i="4"/>
  <c r="T43" i="4"/>
  <c r="U42" i="4"/>
  <c r="T42" i="4"/>
  <c r="T40" i="4"/>
  <c r="U33" i="4"/>
  <c r="U39" i="4" s="1"/>
  <c r="T33" i="4"/>
  <c r="U32" i="4"/>
  <c r="T32" i="4"/>
  <c r="O11" i="3"/>
  <c r="N11" i="3"/>
  <c r="M11" i="3"/>
  <c r="L11" i="3"/>
  <c r="L27" i="7" s="1"/>
  <c r="K11" i="3"/>
  <c r="K27" i="7" s="1"/>
  <c r="J11" i="3"/>
  <c r="I11" i="3"/>
  <c r="H11" i="3"/>
  <c r="G11" i="3"/>
  <c r="F11" i="3"/>
  <c r="E11" i="3"/>
  <c r="D11" i="3"/>
  <c r="C11" i="3"/>
  <c r="B11" i="3"/>
  <c r="U10" i="3"/>
  <c r="T10" i="3"/>
  <c r="S10" i="3"/>
  <c r="S18" i="2"/>
  <c r="S6" i="2"/>
  <c r="S8" i="2" s="1"/>
  <c r="S13" i="2" s="1"/>
  <c r="I85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B49" i="11"/>
  <c r="B4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C33" i="11"/>
  <c r="D33" i="11"/>
  <c r="E33" i="11"/>
  <c r="F33" i="11"/>
  <c r="G33" i="11"/>
  <c r="H33" i="11"/>
  <c r="I33" i="11"/>
  <c r="J33" i="11"/>
  <c r="K33" i="11"/>
  <c r="M33" i="11"/>
  <c r="N33" i="11"/>
  <c r="O33" i="11"/>
  <c r="C34" i="11"/>
  <c r="D34" i="11"/>
  <c r="E34" i="11"/>
  <c r="F34" i="11"/>
  <c r="G34" i="11"/>
  <c r="H34" i="11"/>
  <c r="I34" i="11"/>
  <c r="I43" i="11" s="1"/>
  <c r="J34" i="11"/>
  <c r="J43" i="11" s="1"/>
  <c r="K34" i="11"/>
  <c r="L34" i="11"/>
  <c r="M34" i="11"/>
  <c r="N34" i="11"/>
  <c r="O34" i="11"/>
  <c r="C36" i="11"/>
  <c r="C20" i="11" s="1"/>
  <c r="D36" i="11"/>
  <c r="D20" i="11"/>
  <c r="E36" i="11"/>
  <c r="E20" i="11" s="1"/>
  <c r="F36" i="11"/>
  <c r="F20" i="11" s="1"/>
  <c r="G36" i="11"/>
  <c r="G20" i="11" s="1"/>
  <c r="H36" i="11"/>
  <c r="H20" i="11" s="1"/>
  <c r="I36" i="11"/>
  <c r="I20" i="11" s="1"/>
  <c r="J36" i="11"/>
  <c r="J20" i="11" s="1"/>
  <c r="K36" i="11"/>
  <c r="K20" i="11" s="1"/>
  <c r="L36" i="11"/>
  <c r="L41" i="11" s="1"/>
  <c r="M36" i="11"/>
  <c r="M20" i="11" s="1"/>
  <c r="N36" i="11"/>
  <c r="N20" i="11" s="1"/>
  <c r="O36" i="11"/>
  <c r="B36" i="11"/>
  <c r="B20" i="11" s="1"/>
  <c r="B34" i="11"/>
  <c r="B33" i="11"/>
  <c r="B32" i="11"/>
  <c r="B31" i="11"/>
  <c r="B30" i="11"/>
  <c r="B29" i="11"/>
  <c r="E4" i="11"/>
  <c r="E57" i="11" s="1"/>
  <c r="G4" i="11"/>
  <c r="G57" i="11" s="1"/>
  <c r="H4" i="11"/>
  <c r="H57" i="11" s="1"/>
  <c r="L4" i="11"/>
  <c r="L57" i="11" s="1"/>
  <c r="M4" i="11"/>
  <c r="M57" i="11" s="1"/>
  <c r="N4" i="11"/>
  <c r="N57" i="11" s="1"/>
  <c r="O4" i="11"/>
  <c r="O57" i="11" s="1"/>
  <c r="I39" i="11"/>
  <c r="H38" i="11"/>
  <c r="N15" i="3"/>
  <c r="L15" i="3"/>
  <c r="K15" i="3"/>
  <c r="I15" i="3"/>
  <c r="H15" i="3"/>
  <c r="G15" i="3"/>
  <c r="F15" i="3"/>
  <c r="E15" i="3"/>
  <c r="D15" i="3"/>
  <c r="C15" i="3"/>
  <c r="B15" i="3"/>
  <c r="O15" i="3"/>
  <c r="O14" i="3"/>
  <c r="N14" i="3"/>
  <c r="M14" i="3"/>
  <c r="L14" i="3"/>
  <c r="L16" i="3" s="1"/>
  <c r="L35" i="7" s="1"/>
  <c r="K14" i="3"/>
  <c r="J14" i="3"/>
  <c r="J16" i="3" s="1"/>
  <c r="J35" i="7" s="1"/>
  <c r="I14" i="3"/>
  <c r="I16" i="3" s="1"/>
  <c r="H14" i="3"/>
  <c r="H16" i="3" s="1"/>
  <c r="H17" i="3" s="1"/>
  <c r="H22" i="3" s="1"/>
  <c r="H27" i="3" s="1"/>
  <c r="G14" i="3"/>
  <c r="F14" i="3"/>
  <c r="E14" i="3"/>
  <c r="E16" i="3" s="1"/>
  <c r="E17" i="3" s="1"/>
  <c r="E22" i="3" s="1"/>
  <c r="E27" i="3" s="1"/>
  <c r="D14" i="3"/>
  <c r="D16" i="3" s="1"/>
  <c r="D17" i="3" s="1"/>
  <c r="D22" i="3" s="1"/>
  <c r="D27" i="3" s="1"/>
  <c r="C14" i="3"/>
  <c r="B14" i="3"/>
  <c r="B16" i="3" s="1"/>
  <c r="O8" i="5"/>
  <c r="O50" i="5" s="1"/>
  <c r="N8" i="5"/>
  <c r="N50" i="5" s="1"/>
  <c r="U50" i="5"/>
  <c r="L8" i="5"/>
  <c r="L50" i="5"/>
  <c r="K8" i="5"/>
  <c r="K50" i="5"/>
  <c r="J8" i="5"/>
  <c r="H8" i="5"/>
  <c r="H50" i="5" s="1"/>
  <c r="G8" i="5"/>
  <c r="G50" i="5" s="1"/>
  <c r="F8" i="5"/>
  <c r="F50" i="5" s="1"/>
  <c r="D8" i="5"/>
  <c r="D50" i="5" s="1"/>
  <c r="C8" i="5"/>
  <c r="B8" i="5"/>
  <c r="B50" i="5"/>
  <c r="O7" i="5"/>
  <c r="O49" i="5" s="1"/>
  <c r="N7" i="5"/>
  <c r="N9" i="5" s="1"/>
  <c r="N11" i="5" s="1"/>
  <c r="L7" i="5"/>
  <c r="L9" i="5" s="1"/>
  <c r="K7" i="5"/>
  <c r="K21" i="5" s="1"/>
  <c r="J7" i="5"/>
  <c r="H7" i="5"/>
  <c r="H49" i="5" s="1"/>
  <c r="G7" i="5"/>
  <c r="G49" i="5" s="1"/>
  <c r="F7" i="5"/>
  <c r="F49" i="5"/>
  <c r="D7" i="5"/>
  <c r="D49" i="5" s="1"/>
  <c r="C7" i="5"/>
  <c r="C9" i="5" s="1"/>
  <c r="C11" i="5" s="1"/>
  <c r="C115" i="5" s="1"/>
  <c r="C118" i="5" s="1"/>
  <c r="B7" i="5"/>
  <c r="B49" i="5" s="1"/>
  <c r="N6" i="5"/>
  <c r="N48" i="5"/>
  <c r="L6" i="5"/>
  <c r="L48" i="5" s="1"/>
  <c r="K6" i="5"/>
  <c r="K48" i="5" s="1"/>
  <c r="J6" i="5"/>
  <c r="J48" i="5"/>
  <c r="H6" i="5"/>
  <c r="H20" i="5" s="1"/>
  <c r="G6" i="5"/>
  <c r="F6" i="5"/>
  <c r="F9" i="5" s="1"/>
  <c r="D6" i="5"/>
  <c r="D48" i="5" s="1"/>
  <c r="B6" i="5"/>
  <c r="B48" i="5" s="1"/>
  <c r="T6" i="5"/>
  <c r="D10" i="5"/>
  <c r="D52" i="5" s="1"/>
  <c r="U8" i="5"/>
  <c r="S7" i="5"/>
  <c r="U112" i="5"/>
  <c r="T112" i="5"/>
  <c r="S112" i="5"/>
  <c r="U111" i="5"/>
  <c r="T111" i="5"/>
  <c r="S111" i="5"/>
  <c r="O107" i="5"/>
  <c r="N107" i="5"/>
  <c r="M107" i="5"/>
  <c r="U107" i="5" s="1"/>
  <c r="L107" i="5"/>
  <c r="K107" i="5"/>
  <c r="J107" i="5"/>
  <c r="I107" i="5"/>
  <c r="T107" i="5" s="1"/>
  <c r="H107" i="5"/>
  <c r="G107" i="5"/>
  <c r="F107" i="5"/>
  <c r="E107" i="5"/>
  <c r="S107" i="5" s="1"/>
  <c r="D107" i="5"/>
  <c r="C107" i="5"/>
  <c r="B107" i="5"/>
  <c r="O106" i="5"/>
  <c r="N106" i="5"/>
  <c r="M106" i="5"/>
  <c r="U106" i="5" s="1"/>
  <c r="L106" i="5"/>
  <c r="K106" i="5"/>
  <c r="J106" i="5"/>
  <c r="I106" i="5"/>
  <c r="T106" i="5"/>
  <c r="H106" i="5"/>
  <c r="G106" i="5"/>
  <c r="F106" i="5"/>
  <c r="E106" i="5"/>
  <c r="S106" i="5" s="1"/>
  <c r="D106" i="5"/>
  <c r="C106" i="5"/>
  <c r="B106" i="5"/>
  <c r="N105" i="5"/>
  <c r="M105" i="5"/>
  <c r="U105" i="5" s="1"/>
  <c r="L105" i="5"/>
  <c r="K105" i="5"/>
  <c r="J105" i="5"/>
  <c r="I105" i="5"/>
  <c r="T105" i="5"/>
  <c r="H105" i="5"/>
  <c r="G105" i="5"/>
  <c r="F105" i="5"/>
  <c r="E105" i="5"/>
  <c r="S105" i="5"/>
  <c r="D105" i="5"/>
  <c r="C105" i="5"/>
  <c r="B105" i="5"/>
  <c r="O102" i="5"/>
  <c r="N102" i="5"/>
  <c r="M102" i="5"/>
  <c r="U102" i="5" s="1"/>
  <c r="L102" i="5"/>
  <c r="K102" i="5"/>
  <c r="K108" i="5" s="1"/>
  <c r="J102" i="5"/>
  <c r="J108" i="5" s="1"/>
  <c r="I102" i="5"/>
  <c r="I108" i="5" s="1"/>
  <c r="T108" i="5" s="1"/>
  <c r="T102" i="5"/>
  <c r="H102" i="5"/>
  <c r="G102" i="5"/>
  <c r="G108" i="5" s="1"/>
  <c r="F102" i="5"/>
  <c r="F108" i="5" s="1"/>
  <c r="E102" i="5"/>
  <c r="S102" i="5" s="1"/>
  <c r="D102" i="5"/>
  <c r="C102" i="5"/>
  <c r="B102" i="5"/>
  <c r="U101" i="5"/>
  <c r="T101" i="5"/>
  <c r="S101" i="5"/>
  <c r="U100" i="5"/>
  <c r="T100" i="5"/>
  <c r="S100" i="5"/>
  <c r="U99" i="5"/>
  <c r="T99" i="5"/>
  <c r="S99" i="5"/>
  <c r="U95" i="5"/>
  <c r="T95" i="5"/>
  <c r="S95" i="5"/>
  <c r="I94" i="5"/>
  <c r="I96" i="5" s="1"/>
  <c r="H94" i="5"/>
  <c r="H96" i="5" s="1"/>
  <c r="H120" i="5" s="1"/>
  <c r="H123" i="5" s="1"/>
  <c r="G94" i="5"/>
  <c r="G96" i="5"/>
  <c r="G120" i="5" s="1"/>
  <c r="G123" i="5" s="1"/>
  <c r="F94" i="5"/>
  <c r="F96" i="5"/>
  <c r="F120" i="5" s="1"/>
  <c r="F123" i="5" s="1"/>
  <c r="E96" i="5"/>
  <c r="E120" i="5" s="1"/>
  <c r="D94" i="5"/>
  <c r="D96" i="5" s="1"/>
  <c r="D120" i="5" s="1"/>
  <c r="D123" i="5" s="1"/>
  <c r="C94" i="5"/>
  <c r="C96" i="5" s="1"/>
  <c r="C120" i="5" s="1"/>
  <c r="C123" i="5" s="1"/>
  <c r="B94" i="5"/>
  <c r="B96" i="5" s="1"/>
  <c r="B120" i="5" s="1"/>
  <c r="B123" i="5" s="1"/>
  <c r="U93" i="5"/>
  <c r="T93" i="5"/>
  <c r="S93" i="5"/>
  <c r="U92" i="5"/>
  <c r="T92" i="5"/>
  <c r="S92" i="5"/>
  <c r="U91" i="5"/>
  <c r="T91" i="5"/>
  <c r="S91" i="5"/>
  <c r="O16" i="5"/>
  <c r="O58" i="5" s="1"/>
  <c r="N16" i="5"/>
  <c r="N58" i="5" s="1"/>
  <c r="L16" i="5"/>
  <c r="L58" i="5" s="1"/>
  <c r="L64" i="5" s="1"/>
  <c r="K16" i="5"/>
  <c r="K58" i="5"/>
  <c r="J16" i="5"/>
  <c r="J58" i="5" s="1"/>
  <c r="H16" i="5"/>
  <c r="H58" i="5" s="1"/>
  <c r="G16" i="5"/>
  <c r="G22" i="5" s="1"/>
  <c r="G58" i="5"/>
  <c r="F16" i="5"/>
  <c r="F58" i="5"/>
  <c r="F64" i="5" s="1"/>
  <c r="D16" i="5"/>
  <c r="D22" i="5" s="1"/>
  <c r="C16" i="5"/>
  <c r="C58" i="5" s="1"/>
  <c r="B16" i="5"/>
  <c r="B58" i="5" s="1"/>
  <c r="B64" i="5" s="1"/>
  <c r="O15" i="5"/>
  <c r="O57" i="5"/>
  <c r="O63" i="5" s="1"/>
  <c r="N15" i="5"/>
  <c r="N57" i="5" s="1"/>
  <c r="L15" i="5"/>
  <c r="L57" i="5" s="1"/>
  <c r="K15" i="5"/>
  <c r="K57" i="5"/>
  <c r="J15" i="5"/>
  <c r="J57" i="5" s="1"/>
  <c r="H15" i="5"/>
  <c r="H57" i="5" s="1"/>
  <c r="H63" i="5" s="1"/>
  <c r="G15" i="5"/>
  <c r="G21" i="5" s="1"/>
  <c r="F15" i="5"/>
  <c r="F57" i="5" s="1"/>
  <c r="D15" i="5"/>
  <c r="D57" i="5" s="1"/>
  <c r="C15" i="5"/>
  <c r="C21" i="5" s="1"/>
  <c r="B15" i="5"/>
  <c r="B57" i="5" s="1"/>
  <c r="O14" i="5"/>
  <c r="O56" i="5" s="1"/>
  <c r="N14" i="5"/>
  <c r="N56" i="5"/>
  <c r="L14" i="5"/>
  <c r="L56" i="5"/>
  <c r="L62" i="5" s="1"/>
  <c r="K14" i="5"/>
  <c r="K56" i="5" s="1"/>
  <c r="J14" i="5"/>
  <c r="H14" i="5"/>
  <c r="H56" i="5" s="1"/>
  <c r="F14" i="5"/>
  <c r="F56" i="5"/>
  <c r="D14" i="5"/>
  <c r="D56" i="5"/>
  <c r="C14" i="5"/>
  <c r="C20" i="5" s="1"/>
  <c r="B14" i="5"/>
  <c r="B56" i="5" s="1"/>
  <c r="N73" i="5"/>
  <c r="M73" i="5"/>
  <c r="U73" i="5" s="1"/>
  <c r="L73" i="5"/>
  <c r="K73" i="5"/>
  <c r="J73" i="5"/>
  <c r="I73" i="5"/>
  <c r="T73" i="5" s="1"/>
  <c r="H73" i="5"/>
  <c r="H75" i="5" s="1"/>
  <c r="G73" i="5"/>
  <c r="G75" i="5" s="1"/>
  <c r="F73" i="5"/>
  <c r="E73" i="5"/>
  <c r="E75" i="5" s="1"/>
  <c r="S75" i="5" s="1"/>
  <c r="D73" i="5"/>
  <c r="D75" i="5" s="1"/>
  <c r="C73" i="5"/>
  <c r="C75" i="5" s="1"/>
  <c r="B73" i="5"/>
  <c r="U72" i="5"/>
  <c r="T72" i="5"/>
  <c r="S72" i="5"/>
  <c r="U71" i="5"/>
  <c r="T71" i="5"/>
  <c r="S71" i="5"/>
  <c r="U70" i="5"/>
  <c r="T70" i="5"/>
  <c r="S70" i="5"/>
  <c r="K42" i="5"/>
  <c r="O41" i="5"/>
  <c r="N41" i="5"/>
  <c r="M41" i="5"/>
  <c r="U41" i="5"/>
  <c r="L41" i="5"/>
  <c r="K41" i="5"/>
  <c r="J41" i="5"/>
  <c r="I41" i="5"/>
  <c r="T41" i="5" s="1"/>
  <c r="H41" i="5"/>
  <c r="F41" i="5"/>
  <c r="E41" i="5"/>
  <c r="S41" i="5"/>
  <c r="D41" i="5"/>
  <c r="C41" i="5"/>
  <c r="O38" i="5"/>
  <c r="N38" i="5"/>
  <c r="N44" i="5" s="1"/>
  <c r="M38" i="5"/>
  <c r="U38" i="5"/>
  <c r="L38" i="5"/>
  <c r="K38" i="5"/>
  <c r="K44" i="5" s="1"/>
  <c r="J38" i="5"/>
  <c r="J44" i="5" s="1"/>
  <c r="I38" i="5"/>
  <c r="H38" i="5"/>
  <c r="F38" i="5"/>
  <c r="F44" i="5" s="1"/>
  <c r="E38" i="5"/>
  <c r="S38" i="5"/>
  <c r="D38" i="5"/>
  <c r="C38" i="5"/>
  <c r="U35" i="5"/>
  <c r="T35" i="5"/>
  <c r="S35" i="5"/>
  <c r="G35" i="5"/>
  <c r="G38" i="5" s="1"/>
  <c r="G44" i="5" s="1"/>
  <c r="O30" i="5"/>
  <c r="O32" i="5" s="1"/>
  <c r="N30" i="5"/>
  <c r="M30" i="5"/>
  <c r="M44" i="5" s="1"/>
  <c r="U44" i="5" s="1"/>
  <c r="U30" i="5"/>
  <c r="L30" i="5"/>
  <c r="L32" i="5" s="1"/>
  <c r="K30" i="5"/>
  <c r="J30" i="5"/>
  <c r="I30" i="5"/>
  <c r="T30" i="5" s="1"/>
  <c r="H30" i="5"/>
  <c r="G30" i="5"/>
  <c r="G32" i="5" s="1"/>
  <c r="F30" i="5"/>
  <c r="E30" i="5"/>
  <c r="E32" i="5" s="1"/>
  <c r="S32" i="5" s="1"/>
  <c r="S30" i="5"/>
  <c r="D30" i="5"/>
  <c r="C30" i="5"/>
  <c r="C44" i="5" s="1"/>
  <c r="U27" i="5"/>
  <c r="T27" i="5"/>
  <c r="S27" i="5"/>
  <c r="U6" i="5"/>
  <c r="N10" i="5"/>
  <c r="N52" i="5" s="1"/>
  <c r="S96" i="5"/>
  <c r="E84" i="5"/>
  <c r="S84" i="5"/>
  <c r="S79" i="5"/>
  <c r="H10" i="5"/>
  <c r="H52" i="5"/>
  <c r="I10" i="5"/>
  <c r="I52" i="5"/>
  <c r="T52" i="5" s="1"/>
  <c r="M10" i="5"/>
  <c r="M52" i="5" s="1"/>
  <c r="U52" i="5" s="1"/>
  <c r="J10" i="5"/>
  <c r="J52" i="5" s="1"/>
  <c r="L10" i="5"/>
  <c r="L52" i="5"/>
  <c r="B10" i="5"/>
  <c r="B52" i="5"/>
  <c r="K10" i="5"/>
  <c r="K52" i="5"/>
  <c r="C10" i="5"/>
  <c r="C52" i="5"/>
  <c r="G10" i="5"/>
  <c r="G52" i="5"/>
  <c r="E10" i="5"/>
  <c r="S10" i="5" s="1"/>
  <c r="F10" i="5"/>
  <c r="F52" i="5" s="1"/>
  <c r="K32" i="5"/>
  <c r="O10" i="5"/>
  <c r="O52" i="5"/>
  <c r="O84" i="5"/>
  <c r="L108" i="5"/>
  <c r="L75" i="5"/>
  <c r="H86" i="5"/>
  <c r="S94" i="5"/>
  <c r="M75" i="5"/>
  <c r="U75" i="5" s="1"/>
  <c r="J81" i="5"/>
  <c r="J87" i="5"/>
  <c r="J85" i="5"/>
  <c r="F86" i="5"/>
  <c r="D44" i="5"/>
  <c r="U79" i="5"/>
  <c r="F75" i="5"/>
  <c r="O44" i="5"/>
  <c r="D108" i="5"/>
  <c r="E22" i="5"/>
  <c r="S22" i="5" s="1"/>
  <c r="O73" i="5"/>
  <c r="O75" i="5" s="1"/>
  <c r="D84" i="5"/>
  <c r="G84" i="5"/>
  <c r="H84" i="5"/>
  <c r="C81" i="5"/>
  <c r="C87" i="5" s="1"/>
  <c r="O81" i="5"/>
  <c r="I86" i="5"/>
  <c r="T86" i="5" s="1"/>
  <c r="N108" i="5"/>
  <c r="B85" i="5"/>
  <c r="N85" i="5"/>
  <c r="J86" i="5"/>
  <c r="T94" i="5"/>
  <c r="S78" i="5"/>
  <c r="C85" i="5"/>
  <c r="O85" i="5"/>
  <c r="K86" i="5"/>
  <c r="F84" i="5"/>
  <c r="E85" i="5"/>
  <c r="S85" i="5" s="1"/>
  <c r="N86" i="5"/>
  <c r="C86" i="5"/>
  <c r="J84" i="5"/>
  <c r="H85" i="5"/>
  <c r="D86" i="5"/>
  <c r="S80" i="5"/>
  <c r="L85" i="5"/>
  <c r="B86" i="5"/>
  <c r="G85" i="5"/>
  <c r="K85" i="5"/>
  <c r="K81" i="5"/>
  <c r="K87" i="5"/>
  <c r="I85" i="5"/>
  <c r="T85" i="5"/>
  <c r="H81" i="5"/>
  <c r="H87" i="5" s="1"/>
  <c r="M85" i="5"/>
  <c r="U85" i="5" s="1"/>
  <c r="D85" i="5"/>
  <c r="F81" i="5"/>
  <c r="F87" i="5" s="1"/>
  <c r="I84" i="5"/>
  <c r="T84" i="5" s="1"/>
  <c r="O86" i="5"/>
  <c r="L81" i="5"/>
  <c r="L87" i="5" s="1"/>
  <c r="I81" i="5"/>
  <c r="T81" i="5" s="1"/>
  <c r="E86" i="5"/>
  <c r="S86" i="5" s="1"/>
  <c r="H22" i="5"/>
  <c r="L86" i="5"/>
  <c r="U80" i="5"/>
  <c r="U78" i="5"/>
  <c r="B81" i="5"/>
  <c r="B87" i="5" s="1"/>
  <c r="N81" i="5"/>
  <c r="N87" i="5" s="1"/>
  <c r="C84" i="5"/>
  <c r="G86" i="5"/>
  <c r="D32" i="5"/>
  <c r="F32" i="5"/>
  <c r="B75" i="5"/>
  <c r="N75" i="5"/>
  <c r="J75" i="5"/>
  <c r="K75" i="5"/>
  <c r="N32" i="5"/>
  <c r="J32" i="5"/>
  <c r="L21" i="5"/>
  <c r="M21" i="5"/>
  <c r="U21" i="5" s="1"/>
  <c r="U15" i="5"/>
  <c r="S16" i="5"/>
  <c r="H9" i="5"/>
  <c r="H11" i="5" s="1"/>
  <c r="T8" i="5"/>
  <c r="D81" i="5"/>
  <c r="D87" i="5" s="1"/>
  <c r="K84" i="5"/>
  <c r="F85" i="5"/>
  <c r="M86" i="5"/>
  <c r="U86" i="5" s="1"/>
  <c r="E81" i="5"/>
  <c r="E87" i="5" s="1"/>
  <c r="S87" i="5" s="1"/>
  <c r="L84" i="5"/>
  <c r="M84" i="5"/>
  <c r="U84" i="5"/>
  <c r="T79" i="5"/>
  <c r="G81" i="5"/>
  <c r="B84" i="5"/>
  <c r="N84" i="5"/>
  <c r="M81" i="5"/>
  <c r="M87" i="5" s="1"/>
  <c r="U87" i="5" s="1"/>
  <c r="T80" i="5"/>
  <c r="T78" i="5"/>
  <c r="S28" i="6"/>
  <c r="T28" i="6"/>
  <c r="U28" i="6"/>
  <c r="S57" i="5"/>
  <c r="F21" i="5"/>
  <c r="L22" i="5"/>
  <c r="E17" i="5"/>
  <c r="E20" i="5"/>
  <c r="S20" i="5" s="1"/>
  <c r="D17" i="5"/>
  <c r="S15" i="5"/>
  <c r="I22" i="5"/>
  <c r="T22" i="5"/>
  <c r="T16" i="5"/>
  <c r="J20" i="5"/>
  <c r="T15" i="5"/>
  <c r="K22" i="5"/>
  <c r="N20" i="5"/>
  <c r="L17" i="5"/>
  <c r="L20" i="5"/>
  <c r="K17" i="5"/>
  <c r="K20" i="5"/>
  <c r="C22" i="5"/>
  <c r="S14" i="5"/>
  <c r="I17" i="5"/>
  <c r="T17" i="5" s="1"/>
  <c r="I20" i="5"/>
  <c r="T20" i="5"/>
  <c r="T14" i="5"/>
  <c r="M20" i="5"/>
  <c r="U20" i="5" s="1"/>
  <c r="U10" i="5"/>
  <c r="B22" i="5"/>
  <c r="T10" i="5"/>
  <c r="N22" i="5"/>
  <c r="U23" i="7"/>
  <c r="U22" i="7"/>
  <c r="U20" i="7"/>
  <c r="U7" i="7"/>
  <c r="U6" i="7"/>
  <c r="U5" i="7"/>
  <c r="S17" i="5"/>
  <c r="M40" i="7"/>
  <c r="L40" i="7"/>
  <c r="K40" i="7"/>
  <c r="J40" i="7"/>
  <c r="U46" i="7"/>
  <c r="U45" i="7"/>
  <c r="U44" i="7"/>
  <c r="U43" i="7"/>
  <c r="J50" i="7"/>
  <c r="K50" i="7"/>
  <c r="L50" i="7"/>
  <c r="M50" i="7"/>
  <c r="N50" i="7"/>
  <c r="O50" i="7"/>
  <c r="J39" i="7"/>
  <c r="K39" i="7"/>
  <c r="L39" i="7"/>
  <c r="M39" i="7"/>
  <c r="N39" i="7"/>
  <c r="O39" i="7"/>
  <c r="J38" i="7"/>
  <c r="J42" i="7" s="1"/>
  <c r="J49" i="7" s="1"/>
  <c r="K38" i="7"/>
  <c r="L38" i="7"/>
  <c r="M38" i="7"/>
  <c r="N38" i="7"/>
  <c r="O38" i="7"/>
  <c r="U32" i="7"/>
  <c r="U31" i="7"/>
  <c r="M33" i="7"/>
  <c r="L33" i="7"/>
  <c r="K33" i="7"/>
  <c r="J33" i="7"/>
  <c r="O33" i="7"/>
  <c r="O34" i="7" s="1"/>
  <c r="N33" i="7"/>
  <c r="M30" i="7"/>
  <c r="L30" i="7"/>
  <c r="K30" i="7"/>
  <c r="J30" i="7"/>
  <c r="N30" i="7"/>
  <c r="O30" i="7"/>
  <c r="O14" i="7"/>
  <c r="M14" i="7"/>
  <c r="L14" i="7"/>
  <c r="K14" i="7"/>
  <c r="J14" i="7"/>
  <c r="O13" i="7"/>
  <c r="O15" i="7" s="1"/>
  <c r="M13" i="7"/>
  <c r="L13" i="7"/>
  <c r="K13" i="7"/>
  <c r="J13" i="7"/>
  <c r="N14" i="7"/>
  <c r="V14" i="7" s="1"/>
  <c r="N13" i="7"/>
  <c r="O36" i="6"/>
  <c r="N36" i="6"/>
  <c r="M36" i="6"/>
  <c r="L36" i="6"/>
  <c r="U36" i="6" s="1"/>
  <c r="K36" i="6"/>
  <c r="J36" i="6"/>
  <c r="I36" i="6"/>
  <c r="H36" i="6"/>
  <c r="T36" i="6" s="1"/>
  <c r="G36" i="6"/>
  <c r="F36" i="6"/>
  <c r="E36" i="6"/>
  <c r="D36" i="6"/>
  <c r="C36" i="6"/>
  <c r="B36" i="6"/>
  <c r="S36" i="6" s="1"/>
  <c r="O25" i="6"/>
  <c r="N25" i="6"/>
  <c r="M25" i="6"/>
  <c r="L25" i="6"/>
  <c r="K25" i="6"/>
  <c r="J25" i="6"/>
  <c r="I25" i="6"/>
  <c r="T25" i="6" s="1"/>
  <c r="H25" i="6"/>
  <c r="G25" i="6"/>
  <c r="F25" i="6"/>
  <c r="E25" i="6"/>
  <c r="D25" i="6"/>
  <c r="S25" i="6" s="1"/>
  <c r="C25" i="6"/>
  <c r="B25" i="6"/>
  <c r="O11" i="6"/>
  <c r="O14" i="6" s="1"/>
  <c r="N11" i="6"/>
  <c r="N14" i="6" s="1"/>
  <c r="M11" i="6"/>
  <c r="M14" i="6" s="1"/>
  <c r="L11" i="6"/>
  <c r="K11" i="6"/>
  <c r="K14" i="6" s="1"/>
  <c r="J11" i="6"/>
  <c r="J14" i="6"/>
  <c r="J19" i="7" s="1"/>
  <c r="I11" i="6"/>
  <c r="I14" i="6" s="1"/>
  <c r="I27" i="6" s="1"/>
  <c r="I29" i="6" s="1"/>
  <c r="I31" i="6" s="1"/>
  <c r="I39" i="6" s="1"/>
  <c r="H11" i="6"/>
  <c r="H14" i="6"/>
  <c r="G11" i="6"/>
  <c r="G14" i="6"/>
  <c r="F11" i="6"/>
  <c r="F14" i="6" s="1"/>
  <c r="E11" i="6"/>
  <c r="E14" i="6" s="1"/>
  <c r="E27" i="6" s="1"/>
  <c r="E29" i="6" s="1"/>
  <c r="E31" i="6" s="1"/>
  <c r="E39" i="6" s="1"/>
  <c r="D11" i="6"/>
  <c r="D14" i="6"/>
  <c r="C11" i="6"/>
  <c r="C14" i="6" s="1"/>
  <c r="B11" i="6"/>
  <c r="G27" i="6"/>
  <c r="G29" i="6" s="1"/>
  <c r="G31" i="6" s="1"/>
  <c r="G39" i="6" s="1"/>
  <c r="H27" i="6"/>
  <c r="H29" i="6" s="1"/>
  <c r="H31" i="6" s="1"/>
  <c r="H39" i="6" s="1"/>
  <c r="L14" i="6"/>
  <c r="L27" i="6" s="1"/>
  <c r="L29" i="6" s="1"/>
  <c r="L31" i="6" s="1"/>
  <c r="L39" i="6" s="1"/>
  <c r="B14" i="6"/>
  <c r="B27" i="6"/>
  <c r="B29" i="6" s="1"/>
  <c r="F6" i="3"/>
  <c r="T6" i="3" s="1"/>
  <c r="S29" i="1"/>
  <c r="S47" i="1"/>
  <c r="S46" i="1"/>
  <c r="S44" i="1"/>
  <c r="S43" i="1"/>
  <c r="S42" i="1"/>
  <c r="T41" i="1"/>
  <c r="C35" i="1"/>
  <c r="C34" i="1"/>
  <c r="C36" i="1" s="1"/>
  <c r="B50" i="11"/>
  <c r="B21" i="11" s="1"/>
  <c r="B3" i="11"/>
  <c r="C50" i="11"/>
  <c r="C3" i="11"/>
  <c r="C22" i="11" s="1"/>
  <c r="S41" i="1"/>
  <c r="B26" i="1"/>
  <c r="B24" i="1"/>
  <c r="B23" i="1"/>
  <c r="B22" i="1"/>
  <c r="B21" i="1"/>
  <c r="B20" i="1"/>
  <c r="B19" i="1"/>
  <c r="B18" i="1"/>
  <c r="B17" i="1"/>
  <c r="J4" i="7"/>
  <c r="J9" i="7" s="1"/>
  <c r="K4" i="7"/>
  <c r="L4" i="7"/>
  <c r="L9" i="7" s="1"/>
  <c r="M4" i="7"/>
  <c r="M9" i="7" s="1"/>
  <c r="N4" i="7"/>
  <c r="O4" i="7"/>
  <c r="O9" i="7"/>
  <c r="J10" i="7"/>
  <c r="K10" i="7"/>
  <c r="L10" i="7"/>
  <c r="M10" i="7"/>
  <c r="N10" i="7"/>
  <c r="O10" i="7"/>
  <c r="J16" i="7"/>
  <c r="K16" i="7"/>
  <c r="L16" i="7"/>
  <c r="M16" i="7"/>
  <c r="N16" i="7"/>
  <c r="O16" i="7"/>
  <c r="M35" i="7"/>
  <c r="U19" i="6"/>
  <c r="T19" i="6"/>
  <c r="S19" i="6"/>
  <c r="M34" i="7"/>
  <c r="S5" i="6"/>
  <c r="T5" i="6"/>
  <c r="U5" i="6"/>
  <c r="S6" i="6"/>
  <c r="T6" i="6"/>
  <c r="U6" i="6"/>
  <c r="S7" i="6"/>
  <c r="T7" i="6"/>
  <c r="U7" i="6"/>
  <c r="S8" i="6"/>
  <c r="T8" i="6"/>
  <c r="U8" i="6"/>
  <c r="S9" i="6"/>
  <c r="T9" i="6"/>
  <c r="U9" i="6"/>
  <c r="T10" i="6"/>
  <c r="U10" i="6"/>
  <c r="S12" i="6"/>
  <c r="T12" i="6"/>
  <c r="U12" i="6"/>
  <c r="S17" i="6"/>
  <c r="T17" i="6"/>
  <c r="U17" i="6"/>
  <c r="S18" i="6"/>
  <c r="T18" i="6"/>
  <c r="U18" i="6"/>
  <c r="S20" i="6"/>
  <c r="T20" i="6"/>
  <c r="U20" i="6"/>
  <c r="S21" i="6"/>
  <c r="T21" i="6"/>
  <c r="U21" i="6"/>
  <c r="S22" i="6"/>
  <c r="S14" i="3" s="1"/>
  <c r="T22" i="6"/>
  <c r="T14" i="3"/>
  <c r="U22" i="6"/>
  <c r="U14" i="3" s="1"/>
  <c r="S23" i="6"/>
  <c r="T23" i="6"/>
  <c r="U23" i="6"/>
  <c r="S24" i="6"/>
  <c r="T24" i="6"/>
  <c r="U24" i="6"/>
  <c r="S30" i="6"/>
  <c r="T30" i="6"/>
  <c r="U30" i="6"/>
  <c r="S33" i="6"/>
  <c r="T33" i="6"/>
  <c r="U33" i="6"/>
  <c r="S34" i="6"/>
  <c r="T34" i="6"/>
  <c r="U34" i="6"/>
  <c r="S35" i="6"/>
  <c r="T35" i="6"/>
  <c r="U35" i="6"/>
  <c r="U4" i="6"/>
  <c r="T4" i="6"/>
  <c r="S4" i="6"/>
  <c r="U33" i="7"/>
  <c r="O21" i="4"/>
  <c r="O6" i="4"/>
  <c r="U26" i="4"/>
  <c r="T26" i="4"/>
  <c r="U22" i="4"/>
  <c r="T22" i="4"/>
  <c r="N21" i="4"/>
  <c r="M21" i="4"/>
  <c r="K21" i="4"/>
  <c r="J21" i="4"/>
  <c r="J25" i="4" s="1"/>
  <c r="I21" i="4"/>
  <c r="I25" i="4" s="1"/>
  <c r="I27" i="4" s="1"/>
  <c r="I29" i="4" s="1"/>
  <c r="H21" i="4"/>
  <c r="G21" i="4"/>
  <c r="F21" i="4"/>
  <c r="U20" i="4"/>
  <c r="T20" i="4"/>
  <c r="U19" i="4"/>
  <c r="T19" i="4"/>
  <c r="U5" i="4"/>
  <c r="U7" i="4"/>
  <c r="U11" i="4"/>
  <c r="U4" i="4"/>
  <c r="T11" i="4"/>
  <c r="T7" i="4"/>
  <c r="T5" i="4"/>
  <c r="T4" i="4"/>
  <c r="N6" i="4"/>
  <c r="M6" i="4"/>
  <c r="L6" i="4"/>
  <c r="K6" i="4"/>
  <c r="J6" i="4"/>
  <c r="I6" i="4"/>
  <c r="H6" i="4"/>
  <c r="G6" i="4"/>
  <c r="G10" i="4" s="1"/>
  <c r="F6" i="4"/>
  <c r="U26" i="3"/>
  <c r="U25" i="3"/>
  <c r="U24" i="3"/>
  <c r="U21" i="3"/>
  <c r="U20" i="3"/>
  <c r="U19" i="3"/>
  <c r="U50" i="7" s="1"/>
  <c r="U9" i="3"/>
  <c r="U8" i="3"/>
  <c r="U5" i="3"/>
  <c r="U4" i="3"/>
  <c r="U10" i="7" s="1"/>
  <c r="T26" i="3"/>
  <c r="T25" i="3"/>
  <c r="T24" i="3"/>
  <c r="T21" i="3"/>
  <c r="T20" i="3"/>
  <c r="T19" i="3"/>
  <c r="T9" i="3"/>
  <c r="T8" i="3"/>
  <c r="T5" i="3"/>
  <c r="T4" i="3"/>
  <c r="S5" i="3"/>
  <c r="S8" i="3"/>
  <c r="S9" i="3"/>
  <c r="S19" i="3"/>
  <c r="S20" i="3"/>
  <c r="S21" i="3"/>
  <c r="S24" i="3"/>
  <c r="S25" i="3"/>
  <c r="S26" i="3"/>
  <c r="S4" i="3"/>
  <c r="L6" i="3"/>
  <c r="U6" i="3" s="1"/>
  <c r="K6" i="3"/>
  <c r="J6" i="3"/>
  <c r="I6" i="3"/>
  <c r="H6" i="3"/>
  <c r="G6" i="3"/>
  <c r="E6" i="3"/>
  <c r="D6" i="3"/>
  <c r="C6" i="3"/>
  <c r="B6" i="3"/>
  <c r="S6" i="3" s="1"/>
  <c r="O6" i="3"/>
  <c r="N6" i="3"/>
  <c r="N12" i="3" s="1"/>
  <c r="M6" i="3"/>
  <c r="M12" i="3" s="1"/>
  <c r="M17" i="3" s="1"/>
  <c r="M22" i="3" s="1"/>
  <c r="M27" i="3" s="1"/>
  <c r="J12" i="3"/>
  <c r="U16" i="7"/>
  <c r="G12" i="3"/>
  <c r="F12" i="3"/>
  <c r="T12" i="3" s="1"/>
  <c r="H12" i="3"/>
  <c r="O27" i="7"/>
  <c r="O12" i="3"/>
  <c r="C12" i="3"/>
  <c r="E12" i="3"/>
  <c r="D12" i="3"/>
  <c r="U17" i="2"/>
  <c r="T17" i="2"/>
  <c r="U16" i="2"/>
  <c r="T16" i="2"/>
  <c r="G18" i="2"/>
  <c r="H18" i="2"/>
  <c r="I18" i="2"/>
  <c r="T18" i="2" s="1"/>
  <c r="J18" i="2"/>
  <c r="K18" i="2"/>
  <c r="L18" i="2"/>
  <c r="M18" i="2"/>
  <c r="U18" i="2" s="1"/>
  <c r="N18" i="2"/>
  <c r="O18" i="2"/>
  <c r="U6" i="2"/>
  <c r="U7" i="2"/>
  <c r="U9" i="2"/>
  <c r="U10" i="2"/>
  <c r="U11" i="2"/>
  <c r="U12" i="2"/>
  <c r="U5" i="2"/>
  <c r="T6" i="2"/>
  <c r="T7" i="2"/>
  <c r="T9" i="2"/>
  <c r="T10" i="2"/>
  <c r="T11" i="2"/>
  <c r="T12" i="2"/>
  <c r="T5" i="2"/>
  <c r="O8" i="2"/>
  <c r="O13" i="2"/>
  <c r="N8" i="2"/>
  <c r="N13" i="2" s="1"/>
  <c r="M8" i="2"/>
  <c r="U8" i="2" s="1"/>
  <c r="L8" i="2"/>
  <c r="L13" i="2"/>
  <c r="K8" i="2"/>
  <c r="K13" i="2" s="1"/>
  <c r="J8" i="2"/>
  <c r="J13" i="2"/>
  <c r="I8" i="2"/>
  <c r="I13" i="2" s="1"/>
  <c r="T13" i="2" s="1"/>
  <c r="T8" i="2"/>
  <c r="H8" i="2"/>
  <c r="H13" i="2"/>
  <c r="G8" i="2"/>
  <c r="G13" i="2"/>
  <c r="D6" i="2"/>
  <c r="J27" i="7"/>
  <c r="T11" i="3"/>
  <c r="N27" i="7"/>
  <c r="M27" i="7"/>
  <c r="I12" i="3"/>
  <c r="S11" i="3"/>
  <c r="B12" i="3"/>
  <c r="B17" i="3" s="1"/>
  <c r="M13" i="2"/>
  <c r="U13" i="2" s="1"/>
  <c r="S12" i="3"/>
  <c r="U44" i="1"/>
  <c r="T44" i="1"/>
  <c r="U43" i="1"/>
  <c r="T43" i="1"/>
  <c r="U42" i="1"/>
  <c r="T42" i="1"/>
  <c r="U30" i="1"/>
  <c r="T30" i="1"/>
  <c r="S30" i="1"/>
  <c r="U29" i="1"/>
  <c r="T29" i="1"/>
  <c r="U47" i="1"/>
  <c r="T47" i="1"/>
  <c r="U46" i="1"/>
  <c r="T46" i="1"/>
  <c r="U41" i="1"/>
  <c r="O26" i="1"/>
  <c r="N26" i="1"/>
  <c r="O25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K25" i="1"/>
  <c r="J25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4" i="1"/>
  <c r="M23" i="1"/>
  <c r="M22" i="1"/>
  <c r="M21" i="1"/>
  <c r="M20" i="1"/>
  <c r="M19" i="1"/>
  <c r="M18" i="1"/>
  <c r="M17" i="1"/>
  <c r="U12" i="1"/>
  <c r="T12" i="1"/>
  <c r="S12" i="1"/>
  <c r="U11" i="1"/>
  <c r="T11" i="1"/>
  <c r="S11" i="1"/>
  <c r="U10" i="1"/>
  <c r="T10" i="1"/>
  <c r="S10" i="1"/>
  <c r="U9" i="1"/>
  <c r="T9" i="1"/>
  <c r="S9" i="1"/>
  <c r="U8" i="1"/>
  <c r="T8" i="1"/>
  <c r="S8" i="1"/>
  <c r="U7" i="1"/>
  <c r="T7" i="1"/>
  <c r="S7" i="1"/>
  <c r="U6" i="1"/>
  <c r="T6" i="1"/>
  <c r="S6" i="1"/>
  <c r="U5" i="1"/>
  <c r="T5" i="1"/>
  <c r="N9" i="1"/>
  <c r="F35" i="11"/>
  <c r="L11" i="1"/>
  <c r="N34" i="1"/>
  <c r="N35" i="1"/>
  <c r="E35" i="1"/>
  <c r="G35" i="1"/>
  <c r="G36" i="1" s="1"/>
  <c r="G34" i="1"/>
  <c r="H35" i="1"/>
  <c r="H34" i="1"/>
  <c r="H36" i="1"/>
  <c r="I34" i="1"/>
  <c r="I35" i="1"/>
  <c r="I36" i="1" s="1"/>
  <c r="J34" i="1"/>
  <c r="K34" i="1"/>
  <c r="M35" i="1"/>
  <c r="M34" i="1"/>
  <c r="N50" i="11"/>
  <c r="N21" i="11" s="1"/>
  <c r="N3" i="11"/>
  <c r="I35" i="11"/>
  <c r="I44" i="11" s="1"/>
  <c r="G50" i="11"/>
  <c r="G52" i="11" s="1"/>
  <c r="G3" i="11"/>
  <c r="G13" i="11" s="1"/>
  <c r="H50" i="11"/>
  <c r="H21" i="11" s="1"/>
  <c r="H3" i="11"/>
  <c r="H22" i="11" s="1"/>
  <c r="I3" i="11"/>
  <c r="I22" i="11" s="1"/>
  <c r="I50" i="11"/>
  <c r="M3" i="11"/>
  <c r="M50" i="11"/>
  <c r="M21" i="11" s="1"/>
  <c r="D25" i="1"/>
  <c r="D50" i="11"/>
  <c r="D21" i="11" s="1"/>
  <c r="U26" i="1"/>
  <c r="O21" i="1"/>
  <c r="F25" i="1"/>
  <c r="E25" i="1"/>
  <c r="S13" i="1"/>
  <c r="S25" i="1" s="1"/>
  <c r="L23" i="1"/>
  <c r="T19" i="1"/>
  <c r="N5" i="11"/>
  <c r="H35" i="11"/>
  <c r="I21" i="11"/>
  <c r="A60" i="1"/>
  <c r="A26" i="1"/>
  <c r="A25" i="1"/>
  <c r="A24" i="1"/>
  <c r="A23" i="1"/>
  <c r="A22" i="1"/>
  <c r="A21" i="1"/>
  <c r="A20" i="1"/>
  <c r="A19" i="1"/>
  <c r="A18" i="1"/>
  <c r="A17" i="1"/>
  <c r="O105" i="5"/>
  <c r="O6" i="5"/>
  <c r="O48" i="5" s="1"/>
  <c r="O9" i="5"/>
  <c r="O11" i="5" s="1"/>
  <c r="O20" i="5"/>
  <c r="P38" i="4"/>
  <c r="J41" i="11" l="1"/>
  <c r="M22" i="11"/>
  <c r="M25" i="11" s="1"/>
  <c r="Q13" i="11"/>
  <c r="K39" i="11"/>
  <c r="H43" i="11"/>
  <c r="H41" i="11"/>
  <c r="K38" i="11"/>
  <c r="H39" i="11"/>
  <c r="N34" i="7"/>
  <c r="V10" i="7"/>
  <c r="N15" i="7"/>
  <c r="V15" i="7" s="1"/>
  <c r="V13" i="7"/>
  <c r="V16" i="7"/>
  <c r="N9" i="7"/>
  <c r="V4" i="7"/>
  <c r="U40" i="7"/>
  <c r="K42" i="7"/>
  <c r="K49" i="7" s="1"/>
  <c r="U39" i="7"/>
  <c r="U42" i="7" s="1"/>
  <c r="K9" i="7"/>
  <c r="U9" i="7" s="1"/>
  <c r="M15" i="7"/>
  <c r="K15" i="7"/>
  <c r="K34" i="7"/>
  <c r="P9" i="7"/>
  <c r="L15" i="7"/>
  <c r="U38" i="7"/>
  <c r="I120" i="5"/>
  <c r="T96" i="5"/>
  <c r="T9" i="5"/>
  <c r="I11" i="5"/>
  <c r="I23" i="5"/>
  <c r="T23" i="5" s="1"/>
  <c r="N115" i="5"/>
  <c r="N118" i="5" s="1"/>
  <c r="N80" i="11"/>
  <c r="K59" i="5"/>
  <c r="K62" i="5"/>
  <c r="G64" i="5"/>
  <c r="F11" i="5"/>
  <c r="F115" i="5" s="1"/>
  <c r="F118" i="5" s="1"/>
  <c r="U14" i="5"/>
  <c r="G9" i="5"/>
  <c r="G11" i="5" s="1"/>
  <c r="N123" i="5"/>
  <c r="E44" i="5"/>
  <c r="S44" i="5" s="1"/>
  <c r="E52" i="5"/>
  <c r="S52" i="5" s="1"/>
  <c r="I44" i="5"/>
  <c r="T44" i="5" s="1"/>
  <c r="H64" i="5"/>
  <c r="H108" i="5"/>
  <c r="H48" i="5"/>
  <c r="H51" i="5" s="1"/>
  <c r="H53" i="5" s="1"/>
  <c r="N49" i="5"/>
  <c r="N63" i="5" s="1"/>
  <c r="K64" i="5"/>
  <c r="U81" i="5"/>
  <c r="B21" i="5"/>
  <c r="M32" i="5"/>
  <c r="U32" i="5" s="1"/>
  <c r="L44" i="5"/>
  <c r="D63" i="5"/>
  <c r="O17" i="5"/>
  <c r="O23" i="5" s="1"/>
  <c r="I51" i="5"/>
  <c r="I53" i="5" s="1"/>
  <c r="T53" i="5" s="1"/>
  <c r="K123" i="5"/>
  <c r="B63" i="5"/>
  <c r="S81" i="5"/>
  <c r="L123" i="5"/>
  <c r="J17" i="5"/>
  <c r="F63" i="5"/>
  <c r="O51" i="5"/>
  <c r="O53" i="5" s="1"/>
  <c r="I21" i="5"/>
  <c r="T21" i="5" s="1"/>
  <c r="N21" i="5"/>
  <c r="H44" i="5"/>
  <c r="K9" i="5"/>
  <c r="C32" i="5"/>
  <c r="C80" i="11" s="1"/>
  <c r="T7" i="5"/>
  <c r="N64" i="5"/>
  <c r="B108" i="5"/>
  <c r="G87" i="5"/>
  <c r="S8" i="5"/>
  <c r="C108" i="5"/>
  <c r="F20" i="5"/>
  <c r="L59" i="5"/>
  <c r="B9" i="5"/>
  <c r="B11" i="5" s="1"/>
  <c r="J21" i="5"/>
  <c r="M22" i="5"/>
  <c r="U22" i="5" s="1"/>
  <c r="G41" i="5"/>
  <c r="F17" i="5"/>
  <c r="F23" i="5" s="1"/>
  <c r="O108" i="5"/>
  <c r="D51" i="5"/>
  <c r="D53" i="5" s="1"/>
  <c r="K49" i="5"/>
  <c r="K63" i="5" s="1"/>
  <c r="P51" i="5"/>
  <c r="P53" i="5" s="1"/>
  <c r="M10" i="4"/>
  <c r="M12" i="4" s="1"/>
  <c r="J39" i="4"/>
  <c r="J41" i="4" s="1"/>
  <c r="L54" i="4"/>
  <c r="M25" i="4"/>
  <c r="L50" i="4"/>
  <c r="T49" i="4"/>
  <c r="V15" i="4"/>
  <c r="V21" i="4"/>
  <c r="K39" i="4"/>
  <c r="K41" i="4" s="1"/>
  <c r="K45" i="4" s="1"/>
  <c r="T56" i="4"/>
  <c r="P39" i="4"/>
  <c r="P41" i="4" s="1"/>
  <c r="P45" i="4" s="1"/>
  <c r="L10" i="4"/>
  <c r="L12" i="4" s="1"/>
  <c r="L16" i="4" s="1"/>
  <c r="M16" i="4"/>
  <c r="I54" i="4"/>
  <c r="T21" i="4"/>
  <c r="H54" i="4"/>
  <c r="U24" i="4"/>
  <c r="G54" i="4"/>
  <c r="U48" i="4"/>
  <c r="T52" i="4"/>
  <c r="H25" i="4"/>
  <c r="H27" i="4" s="1"/>
  <c r="H29" i="4" s="1"/>
  <c r="K54" i="4"/>
  <c r="O54" i="4"/>
  <c r="I10" i="4"/>
  <c r="I12" i="4" s="1"/>
  <c r="U15" i="4"/>
  <c r="T34" i="4"/>
  <c r="U52" i="4"/>
  <c r="T39" i="4"/>
  <c r="I39" i="4"/>
  <c r="I41" i="4" s="1"/>
  <c r="I45" i="4" s="1"/>
  <c r="J50" i="4"/>
  <c r="O39" i="4"/>
  <c r="O41" i="4" s="1"/>
  <c r="O45" i="4" s="1"/>
  <c r="K10" i="4"/>
  <c r="O25" i="4"/>
  <c r="O27" i="4" s="1"/>
  <c r="O29" i="4" s="1"/>
  <c r="J54" i="4"/>
  <c r="J10" i="4"/>
  <c r="J55" i="4" s="1"/>
  <c r="U40" i="4"/>
  <c r="L39" i="4"/>
  <c r="L41" i="4" s="1"/>
  <c r="L45" i="4" s="1"/>
  <c r="U56" i="4"/>
  <c r="F10" i="4"/>
  <c r="F12" i="4" s="1"/>
  <c r="F16" i="4" s="1"/>
  <c r="T24" i="4"/>
  <c r="U34" i="4"/>
  <c r="T51" i="4"/>
  <c r="U59" i="4"/>
  <c r="M50" i="4"/>
  <c r="H10" i="4"/>
  <c r="H12" i="4" s="1"/>
  <c r="T9" i="4"/>
  <c r="T48" i="4"/>
  <c r="I50" i="4"/>
  <c r="U51" i="4"/>
  <c r="T58" i="4"/>
  <c r="F39" i="4"/>
  <c r="F41" i="4" s="1"/>
  <c r="M54" i="4"/>
  <c r="M39" i="4"/>
  <c r="M41" i="4" s="1"/>
  <c r="M45" i="4" s="1"/>
  <c r="P56" i="4"/>
  <c r="V11" i="4"/>
  <c r="N25" i="4"/>
  <c r="U21" i="4"/>
  <c r="P54" i="4"/>
  <c r="N58" i="4"/>
  <c r="V6" i="4"/>
  <c r="O50" i="4"/>
  <c r="H39" i="4"/>
  <c r="H41" i="4" s="1"/>
  <c r="H45" i="4" s="1"/>
  <c r="U6" i="4"/>
  <c r="F50" i="4"/>
  <c r="U9" i="4"/>
  <c r="T15" i="4"/>
  <c r="G25" i="4"/>
  <c r="G27" i="4" s="1"/>
  <c r="G29" i="4" s="1"/>
  <c r="F54" i="4"/>
  <c r="F25" i="4"/>
  <c r="F27" i="4" s="1"/>
  <c r="U60" i="4"/>
  <c r="U58" i="4"/>
  <c r="V24" i="4"/>
  <c r="N39" i="4"/>
  <c r="N54" i="4"/>
  <c r="V9" i="4"/>
  <c r="N10" i="4"/>
  <c r="N50" i="4"/>
  <c r="J27" i="4"/>
  <c r="J29" i="4" s="1"/>
  <c r="P12" i="4"/>
  <c r="M27" i="4"/>
  <c r="M29" i="4" s="1"/>
  <c r="J45" i="4"/>
  <c r="L27" i="4"/>
  <c r="L29" i="4" s="1"/>
  <c r="G55" i="4"/>
  <c r="G12" i="4"/>
  <c r="K12" i="4"/>
  <c r="G50" i="4"/>
  <c r="K25" i="4"/>
  <c r="K27" i="4" s="1"/>
  <c r="K29" i="4" s="1"/>
  <c r="H50" i="4"/>
  <c r="P50" i="4"/>
  <c r="T6" i="4"/>
  <c r="O10" i="4"/>
  <c r="K50" i="4"/>
  <c r="U25" i="6"/>
  <c r="O19" i="7"/>
  <c r="O26" i="7" s="1"/>
  <c r="O27" i="6"/>
  <c r="O29" i="6" s="1"/>
  <c r="M19" i="7"/>
  <c r="M26" i="7" s="1"/>
  <c r="M27" i="6"/>
  <c r="M29" i="6" s="1"/>
  <c r="M31" i="6" s="1"/>
  <c r="M39" i="6" s="1"/>
  <c r="T11" i="6"/>
  <c r="D27" i="6"/>
  <c r="D29" i="6" s="1"/>
  <c r="D31" i="6" s="1"/>
  <c r="D39" i="6" s="1"/>
  <c r="U11" i="6"/>
  <c r="S11" i="6"/>
  <c r="P42" i="7"/>
  <c r="U13" i="7"/>
  <c r="K16" i="3"/>
  <c r="K35" i="7" s="1"/>
  <c r="N42" i="7"/>
  <c r="O42" i="7"/>
  <c r="O16" i="3"/>
  <c r="O35" i="7" s="1"/>
  <c r="F16" i="3"/>
  <c r="U30" i="7"/>
  <c r="U34" i="7" s="1"/>
  <c r="L19" i="7"/>
  <c r="L26" i="7" s="1"/>
  <c r="U14" i="7"/>
  <c r="N16" i="3"/>
  <c r="N35" i="7" s="1"/>
  <c r="U4" i="7"/>
  <c r="G16" i="3"/>
  <c r="T16" i="3" s="1"/>
  <c r="T15" i="3" s="1"/>
  <c r="J34" i="7"/>
  <c r="L34" i="7"/>
  <c r="M42" i="7"/>
  <c r="L42" i="7"/>
  <c r="P34" i="7"/>
  <c r="K19" i="7"/>
  <c r="U14" i="6"/>
  <c r="K27" i="6"/>
  <c r="K29" i="6" s="1"/>
  <c r="K31" i="6" s="1"/>
  <c r="K39" i="6" s="1"/>
  <c r="T14" i="6"/>
  <c r="F27" i="6"/>
  <c r="N27" i="6"/>
  <c r="N29" i="6" s="1"/>
  <c r="N31" i="6" s="1"/>
  <c r="N39" i="6" s="1"/>
  <c r="N19" i="7"/>
  <c r="N26" i="7" s="1"/>
  <c r="B31" i="6"/>
  <c r="C27" i="6"/>
  <c r="S14" i="6"/>
  <c r="P27" i="6"/>
  <c r="P29" i="6" s="1"/>
  <c r="P19" i="7"/>
  <c r="P26" i="7" s="1"/>
  <c r="J26" i="7"/>
  <c r="J27" i="6"/>
  <c r="I17" i="3"/>
  <c r="I22" i="3" s="1"/>
  <c r="I27" i="3" s="1"/>
  <c r="N17" i="3"/>
  <c r="N22" i="3" s="1"/>
  <c r="N27" i="3" s="1"/>
  <c r="C16" i="3"/>
  <c r="S16" i="3" s="1"/>
  <c r="S15" i="3" s="1"/>
  <c r="J15" i="7"/>
  <c r="P17" i="3"/>
  <c r="P22" i="3" s="1"/>
  <c r="P27" i="3" s="1"/>
  <c r="B22" i="3"/>
  <c r="L12" i="3"/>
  <c r="L17" i="3" s="1"/>
  <c r="L22" i="3" s="1"/>
  <c r="L27" i="3" s="1"/>
  <c r="U11" i="3"/>
  <c r="U27" i="7" s="1"/>
  <c r="F17" i="3"/>
  <c r="J17" i="3"/>
  <c r="K12" i="3"/>
  <c r="U16" i="3"/>
  <c r="K36" i="1"/>
  <c r="T36" i="1"/>
  <c r="M25" i="1"/>
  <c r="L3" i="11"/>
  <c r="J39" i="11"/>
  <c r="K35" i="11"/>
  <c r="K44" i="11" s="1"/>
  <c r="K54" i="1"/>
  <c r="O35" i="11"/>
  <c r="G22" i="11"/>
  <c r="L50" i="11"/>
  <c r="L21" i="11" s="1"/>
  <c r="U13" i="1"/>
  <c r="U25" i="1" s="1"/>
  <c r="J35" i="11"/>
  <c r="G38" i="11"/>
  <c r="U35" i="1"/>
  <c r="U19" i="1"/>
  <c r="K50" i="11"/>
  <c r="K21" i="11" s="1"/>
  <c r="L13" i="1"/>
  <c r="I41" i="11"/>
  <c r="O43" i="11"/>
  <c r="M35" i="11"/>
  <c r="M44" i="11" s="1"/>
  <c r="T35" i="1"/>
  <c r="K3" i="11"/>
  <c r="K22" i="11" s="1"/>
  <c r="L33" i="11"/>
  <c r="L42" i="11" s="1"/>
  <c r="K4" i="11"/>
  <c r="K57" i="11" s="1"/>
  <c r="L35" i="1"/>
  <c r="L36" i="1" s="1"/>
  <c r="F4" i="11"/>
  <c r="F57" i="11" s="1"/>
  <c r="E50" i="11"/>
  <c r="E21" i="11" s="1"/>
  <c r="S22" i="1"/>
  <c r="C39" i="11"/>
  <c r="T20" i="1"/>
  <c r="C38" i="11"/>
  <c r="F51" i="1"/>
  <c r="F5" i="11" s="1"/>
  <c r="C52" i="11"/>
  <c r="U23" i="1"/>
  <c r="E34" i="1"/>
  <c r="E36" i="1" s="1"/>
  <c r="U22" i="1"/>
  <c r="K43" i="11"/>
  <c r="K42" i="11"/>
  <c r="K41" i="11"/>
  <c r="L40" i="11"/>
  <c r="M39" i="11"/>
  <c r="J52" i="11"/>
  <c r="J21" i="11"/>
  <c r="G35" i="11"/>
  <c r="S19" i="1"/>
  <c r="D3" i="11"/>
  <c r="D22" i="11" s="1"/>
  <c r="D25" i="11" s="1"/>
  <c r="H25" i="11"/>
  <c r="J4" i="11"/>
  <c r="J57" i="11" s="1"/>
  <c r="G21" i="11"/>
  <c r="D35" i="11"/>
  <c r="N36" i="1"/>
  <c r="C4" i="11"/>
  <c r="I4" i="11"/>
  <c r="I57" i="11" s="1"/>
  <c r="S31" i="1"/>
  <c r="S34" i="1" s="1"/>
  <c r="S23" i="1"/>
  <c r="T18" i="1"/>
  <c r="U21" i="1"/>
  <c r="O3" i="11"/>
  <c r="M36" i="1"/>
  <c r="I38" i="11"/>
  <c r="B4" i="11"/>
  <c r="B57" i="11" s="1"/>
  <c r="B51" i="1"/>
  <c r="B5" i="11" s="1"/>
  <c r="I51" i="1"/>
  <c r="I59" i="1" s="1"/>
  <c r="C51" i="1"/>
  <c r="C58" i="1" s="1"/>
  <c r="S51" i="1"/>
  <c r="S54" i="1" s="1"/>
  <c r="D34" i="1"/>
  <c r="D36" i="1" s="1"/>
  <c r="H25" i="1"/>
  <c r="U17" i="1"/>
  <c r="J3" i="11"/>
  <c r="J22" i="11" s="1"/>
  <c r="E35" i="11"/>
  <c r="S24" i="1"/>
  <c r="L43" i="11"/>
  <c r="H59" i="1"/>
  <c r="P35" i="11"/>
  <c r="D52" i="11"/>
  <c r="U34" i="1"/>
  <c r="U36" i="1" s="1"/>
  <c r="U18" i="1"/>
  <c r="F34" i="1"/>
  <c r="T24" i="1"/>
  <c r="B35" i="11"/>
  <c r="K59" i="1"/>
  <c r="K60" i="1" s="1"/>
  <c r="S20" i="1"/>
  <c r="C35" i="11"/>
  <c r="T17" i="1"/>
  <c r="F50" i="11"/>
  <c r="F53" i="11" s="1"/>
  <c r="F35" i="1"/>
  <c r="N21" i="1"/>
  <c r="U20" i="1"/>
  <c r="U24" i="1"/>
  <c r="B25" i="1"/>
  <c r="G39" i="11"/>
  <c r="G45" i="11" s="1"/>
  <c r="B38" i="11"/>
  <c r="U51" i="1"/>
  <c r="M51" i="1"/>
  <c r="G25" i="1"/>
  <c r="T23" i="1"/>
  <c r="T13" i="1"/>
  <c r="T25" i="1" s="1"/>
  <c r="T26" i="1"/>
  <c r="S26" i="1"/>
  <c r="I53" i="11"/>
  <c r="F3" i="11"/>
  <c r="F13" i="11" s="1"/>
  <c r="O35" i="1"/>
  <c r="S17" i="1"/>
  <c r="T49" i="1"/>
  <c r="L51" i="1"/>
  <c r="L5" i="11" s="1"/>
  <c r="L7" i="11" s="1"/>
  <c r="P51" i="1"/>
  <c r="J51" i="1"/>
  <c r="O50" i="11"/>
  <c r="N38" i="11"/>
  <c r="K5" i="11"/>
  <c r="K58" i="11" s="1"/>
  <c r="L35" i="11"/>
  <c r="L44" i="11" s="1"/>
  <c r="T22" i="1"/>
  <c r="S21" i="1"/>
  <c r="E3" i="11"/>
  <c r="E22" i="11" s="1"/>
  <c r="E24" i="11" s="1"/>
  <c r="J35" i="1"/>
  <c r="J36" i="1" s="1"/>
  <c r="O34" i="1"/>
  <c r="O36" i="1" s="1"/>
  <c r="O44" i="11"/>
  <c r="K55" i="1"/>
  <c r="I25" i="11"/>
  <c r="I24" i="11"/>
  <c r="O39" i="11"/>
  <c r="H45" i="11"/>
  <c r="O20" i="11"/>
  <c r="J53" i="11"/>
  <c r="K13" i="11"/>
  <c r="M24" i="11"/>
  <c r="B39" i="11"/>
  <c r="N39" i="11"/>
  <c r="D4" i="11"/>
  <c r="D57" i="11" s="1"/>
  <c r="D51" i="1"/>
  <c r="E5" i="11"/>
  <c r="E54" i="1"/>
  <c r="E55" i="1"/>
  <c r="E58" i="1"/>
  <c r="E59" i="1"/>
  <c r="O54" i="1"/>
  <c r="O59" i="1"/>
  <c r="O55" i="1"/>
  <c r="O5" i="11"/>
  <c r="J59" i="1"/>
  <c r="J54" i="1"/>
  <c r="J55" i="1"/>
  <c r="J5" i="11"/>
  <c r="J58" i="11" s="1"/>
  <c r="I45" i="11"/>
  <c r="B55" i="1"/>
  <c r="B59" i="1"/>
  <c r="H54" i="1"/>
  <c r="H55" i="1"/>
  <c r="H5" i="11"/>
  <c r="H58" i="11" s="1"/>
  <c r="U55" i="1"/>
  <c r="U59" i="1"/>
  <c r="M54" i="1"/>
  <c r="M55" i="1"/>
  <c r="M5" i="11"/>
  <c r="Q12" i="11" s="1"/>
  <c r="M59" i="1"/>
  <c r="G59" i="1"/>
  <c r="G54" i="1"/>
  <c r="G55" i="1"/>
  <c r="G5" i="11"/>
  <c r="G58" i="11" s="1"/>
  <c r="F54" i="1"/>
  <c r="I25" i="1"/>
  <c r="J42" i="11"/>
  <c r="K40" i="11"/>
  <c r="L39" i="11"/>
  <c r="M38" i="11"/>
  <c r="D53" i="11"/>
  <c r="B58" i="1"/>
  <c r="P5" i="11"/>
  <c r="K24" i="11"/>
  <c r="O58" i="1"/>
  <c r="O60" i="1" s="1"/>
  <c r="G58" i="1"/>
  <c r="P55" i="1"/>
  <c r="P4" i="11"/>
  <c r="P57" i="11" s="1"/>
  <c r="N13" i="1"/>
  <c r="O38" i="11"/>
  <c r="C24" i="11"/>
  <c r="P54" i="1"/>
  <c r="P3" i="11"/>
  <c r="P22" i="11" s="1"/>
  <c r="P24" i="11" s="1"/>
  <c r="P50" i="11"/>
  <c r="P53" i="11" s="1"/>
  <c r="N32" i="11"/>
  <c r="N41" i="11" s="1"/>
  <c r="M42" i="11"/>
  <c r="J24" i="11"/>
  <c r="L22" i="11"/>
  <c r="G53" i="11"/>
  <c r="G54" i="11" s="1"/>
  <c r="L13" i="11"/>
  <c r="E39" i="11"/>
  <c r="P59" i="1"/>
  <c r="N52" i="11"/>
  <c r="M43" i="11"/>
  <c r="C45" i="11"/>
  <c r="P58" i="1"/>
  <c r="C25" i="1"/>
  <c r="G25" i="11"/>
  <c r="N53" i="11"/>
  <c r="U58" i="1"/>
  <c r="D58" i="1"/>
  <c r="P35" i="1"/>
  <c r="P36" i="1" s="1"/>
  <c r="H24" i="11"/>
  <c r="U54" i="1"/>
  <c r="M58" i="1"/>
  <c r="J58" i="1"/>
  <c r="H58" i="1"/>
  <c r="G24" i="11"/>
  <c r="N43" i="11"/>
  <c r="O42" i="11"/>
  <c r="O41" i="11"/>
  <c r="O40" i="11"/>
  <c r="D39" i="11"/>
  <c r="E38" i="11"/>
  <c r="E45" i="11" s="1"/>
  <c r="H53" i="11"/>
  <c r="I52" i="11"/>
  <c r="I54" i="11" s="1"/>
  <c r="M40" i="11"/>
  <c r="N58" i="11"/>
  <c r="N42" i="11"/>
  <c r="M41" i="11"/>
  <c r="N40" i="11"/>
  <c r="D38" i="11"/>
  <c r="H52" i="11"/>
  <c r="H54" i="11" s="1"/>
  <c r="K11" i="5"/>
  <c r="K23" i="5"/>
  <c r="T51" i="5"/>
  <c r="E51" i="5"/>
  <c r="S48" i="5"/>
  <c r="O64" i="5"/>
  <c r="B51" i="5"/>
  <c r="B53" i="5" s="1"/>
  <c r="E62" i="5"/>
  <c r="S62" i="5" s="1"/>
  <c r="S56" i="5"/>
  <c r="E59" i="5"/>
  <c r="B80" i="11"/>
  <c r="B115" i="5"/>
  <c r="B118" i="5" s="1"/>
  <c r="U9" i="5"/>
  <c r="M11" i="5"/>
  <c r="I64" i="5"/>
  <c r="T64" i="5" s="1"/>
  <c r="T58" i="5"/>
  <c r="P62" i="5"/>
  <c r="P59" i="5"/>
  <c r="P65" i="5" s="1"/>
  <c r="B62" i="5"/>
  <c r="B59" i="5"/>
  <c r="B65" i="5" s="1"/>
  <c r="S120" i="5"/>
  <c r="E123" i="5"/>
  <c r="S123" i="5" s="1"/>
  <c r="I63" i="5"/>
  <c r="T63" i="5" s="1"/>
  <c r="T57" i="5"/>
  <c r="O80" i="11"/>
  <c r="O115" i="5"/>
  <c r="O118" i="5" s="1"/>
  <c r="N59" i="5"/>
  <c r="I59" i="5"/>
  <c r="G115" i="5"/>
  <c r="G118" i="5" s="1"/>
  <c r="G80" i="11"/>
  <c r="L23" i="5"/>
  <c r="L11" i="5"/>
  <c r="O59" i="5"/>
  <c r="O65" i="5" s="1"/>
  <c r="O62" i="5"/>
  <c r="U57" i="5"/>
  <c r="U56" i="5"/>
  <c r="M62" i="5"/>
  <c r="U62" i="5" s="1"/>
  <c r="H59" i="5"/>
  <c r="S58" i="5"/>
  <c r="E64" i="5"/>
  <c r="S64" i="5" s="1"/>
  <c r="T120" i="5"/>
  <c r="I123" i="5"/>
  <c r="T123" i="5" s="1"/>
  <c r="E63" i="5"/>
  <c r="S63" i="5" s="1"/>
  <c r="C17" i="5"/>
  <c r="C23" i="5" s="1"/>
  <c r="U16" i="5"/>
  <c r="O22" i="5"/>
  <c r="T48" i="5"/>
  <c r="D62" i="5"/>
  <c r="D9" i="5"/>
  <c r="D11" i="5" s="1"/>
  <c r="H115" i="5"/>
  <c r="H118" i="5" s="1"/>
  <c r="U94" i="5"/>
  <c r="J9" i="5"/>
  <c r="J11" i="5" s="1"/>
  <c r="I75" i="5"/>
  <c r="T75" i="5" s="1"/>
  <c r="D20" i="5"/>
  <c r="P44" i="5"/>
  <c r="J22" i="5"/>
  <c r="N17" i="5"/>
  <c r="N23" i="5" s="1"/>
  <c r="O21" i="5"/>
  <c r="B20" i="5"/>
  <c r="I32" i="5"/>
  <c r="T32" i="5" s="1"/>
  <c r="T38" i="5"/>
  <c r="J56" i="5"/>
  <c r="G57" i="5"/>
  <c r="G63" i="5" s="1"/>
  <c r="C49" i="5"/>
  <c r="C51" i="5" s="1"/>
  <c r="C53" i="5" s="1"/>
  <c r="J49" i="5"/>
  <c r="J63" i="5" s="1"/>
  <c r="B17" i="5"/>
  <c r="B23" i="5" s="1"/>
  <c r="H17" i="5"/>
  <c r="H23" i="5" s="1"/>
  <c r="I87" i="5"/>
  <c r="T87" i="5" s="1"/>
  <c r="N62" i="5"/>
  <c r="U7" i="5"/>
  <c r="G14" i="5"/>
  <c r="S73" i="5"/>
  <c r="D58" i="5"/>
  <c r="D64" i="5" s="1"/>
  <c r="C50" i="5"/>
  <c r="C64" i="5" s="1"/>
  <c r="J50" i="5"/>
  <c r="J64" i="5" s="1"/>
  <c r="M49" i="5"/>
  <c r="U49" i="5" s="1"/>
  <c r="P9" i="5"/>
  <c r="P11" i="5" s="1"/>
  <c r="H21" i="5"/>
  <c r="O87" i="5"/>
  <c r="D21" i="5"/>
  <c r="I62" i="5"/>
  <c r="T62" i="5" s="1"/>
  <c r="S6" i="5"/>
  <c r="F22" i="5"/>
  <c r="E108" i="5"/>
  <c r="S108" i="5" s="1"/>
  <c r="T56" i="5"/>
  <c r="E9" i="5"/>
  <c r="C56" i="5"/>
  <c r="C57" i="5"/>
  <c r="C63" i="5" s="1"/>
  <c r="F48" i="5"/>
  <c r="F51" i="5" s="1"/>
  <c r="F53" i="5" s="1"/>
  <c r="L49" i="5"/>
  <c r="L51" i="5" s="1"/>
  <c r="M17" i="5"/>
  <c r="H32" i="5"/>
  <c r="H80" i="11" s="1"/>
  <c r="F59" i="5"/>
  <c r="F80" i="11"/>
  <c r="G48" i="5"/>
  <c r="G51" i="5" s="1"/>
  <c r="G53" i="5" s="1"/>
  <c r="M58" i="5"/>
  <c r="M96" i="5"/>
  <c r="P17" i="5"/>
  <c r="N8" i="11"/>
  <c r="M13" i="11"/>
  <c r="K52" i="11"/>
  <c r="B22" i="11"/>
  <c r="B24" i="11" s="1"/>
  <c r="C57" i="11"/>
  <c r="L38" i="11"/>
  <c r="L20" i="11"/>
  <c r="N22" i="11"/>
  <c r="N25" i="11" s="1"/>
  <c r="K53" i="11"/>
  <c r="J44" i="11"/>
  <c r="N7" i="11"/>
  <c r="J40" i="11"/>
  <c r="C53" i="11"/>
  <c r="C54" i="11" s="1"/>
  <c r="J38" i="11"/>
  <c r="M52" i="11"/>
  <c r="C21" i="11"/>
  <c r="C25" i="11" s="1"/>
  <c r="F38" i="11"/>
  <c r="M53" i="11"/>
  <c r="F39" i="11"/>
  <c r="E52" i="11" l="1"/>
  <c r="E53" i="11"/>
  <c r="F21" i="11"/>
  <c r="K25" i="11"/>
  <c r="F58" i="11"/>
  <c r="F52" i="11"/>
  <c r="F54" i="11" s="1"/>
  <c r="J54" i="11"/>
  <c r="Q45" i="11"/>
  <c r="V9" i="7"/>
  <c r="U49" i="7"/>
  <c r="U15" i="7"/>
  <c r="K26" i="7"/>
  <c r="V19" i="7"/>
  <c r="N51" i="5"/>
  <c r="N53" i="5" s="1"/>
  <c r="M51" i="5"/>
  <c r="H62" i="5"/>
  <c r="H65" i="5"/>
  <c r="K51" i="5"/>
  <c r="K53" i="5" s="1"/>
  <c r="J51" i="5"/>
  <c r="J53" i="5" s="1"/>
  <c r="N65" i="5"/>
  <c r="I115" i="5"/>
  <c r="T11" i="5"/>
  <c r="F65" i="5"/>
  <c r="K65" i="5"/>
  <c r="F29" i="4"/>
  <c r="T29" i="4" s="1"/>
  <c r="I55" i="4"/>
  <c r="T54" i="4"/>
  <c r="F57" i="4"/>
  <c r="L55" i="4"/>
  <c r="P55" i="4"/>
  <c r="T25" i="4"/>
  <c r="L57" i="4"/>
  <c r="J12" i="4"/>
  <c r="J16" i="4" s="1"/>
  <c r="U54" i="4"/>
  <c r="T10" i="4"/>
  <c r="F55" i="4"/>
  <c r="T27" i="4"/>
  <c r="L61" i="4"/>
  <c r="U50" i="4"/>
  <c r="U10" i="4"/>
  <c r="U45" i="4"/>
  <c r="V39" i="4"/>
  <c r="N41" i="4"/>
  <c r="T50" i="4"/>
  <c r="N27" i="4"/>
  <c r="N29" i="4" s="1"/>
  <c r="V25" i="4"/>
  <c r="K55" i="4"/>
  <c r="U25" i="4"/>
  <c r="H55" i="4"/>
  <c r="U41" i="4"/>
  <c r="M55" i="4"/>
  <c r="N55" i="4"/>
  <c r="V10" i="4"/>
  <c r="N12" i="4"/>
  <c r="M61" i="4"/>
  <c r="M57" i="4"/>
  <c r="K16" i="4"/>
  <c r="K57" i="4"/>
  <c r="G57" i="4"/>
  <c r="G16" i="4"/>
  <c r="G61" i="4" s="1"/>
  <c r="P16" i="4"/>
  <c r="P61" i="4" s="1"/>
  <c r="P57" i="4"/>
  <c r="O55" i="4"/>
  <c r="O12" i="4"/>
  <c r="T12" i="4"/>
  <c r="F45" i="4"/>
  <c r="T45" i="4" s="1"/>
  <c r="T41" i="4"/>
  <c r="H57" i="4"/>
  <c r="H16" i="4"/>
  <c r="H61" i="4" s="1"/>
  <c r="U27" i="4"/>
  <c r="I16" i="4"/>
  <c r="I61" i="4" s="1"/>
  <c r="I57" i="4"/>
  <c r="P31" i="6"/>
  <c r="P39" i="6" s="1"/>
  <c r="O31" i="6"/>
  <c r="O39" i="6" s="1"/>
  <c r="O17" i="3"/>
  <c r="O22" i="3" s="1"/>
  <c r="O27" i="3" s="1"/>
  <c r="G17" i="3"/>
  <c r="G22" i="3" s="1"/>
  <c r="G27" i="3" s="1"/>
  <c r="U19" i="7"/>
  <c r="C17" i="3"/>
  <c r="C22" i="3" s="1"/>
  <c r="C27" i="3" s="1"/>
  <c r="B39" i="6"/>
  <c r="U27" i="6"/>
  <c r="J29" i="6"/>
  <c r="S27" i="6"/>
  <c r="C29" i="6"/>
  <c r="F29" i="6"/>
  <c r="T27" i="6"/>
  <c r="U35" i="7"/>
  <c r="U15" i="3"/>
  <c r="F22" i="3"/>
  <c r="T17" i="3"/>
  <c r="B27" i="3"/>
  <c r="S22" i="3"/>
  <c r="U12" i="3"/>
  <c r="K17" i="3"/>
  <c r="J22" i="3"/>
  <c r="B7" i="11"/>
  <c r="B8" i="11"/>
  <c r="B9" i="11" s="1"/>
  <c r="B58" i="11"/>
  <c r="F59" i="1"/>
  <c r="O45" i="11"/>
  <c r="F55" i="1"/>
  <c r="F56" i="1" s="1"/>
  <c r="B54" i="1"/>
  <c r="B56" i="1" s="1"/>
  <c r="L52" i="11"/>
  <c r="F58" i="1"/>
  <c r="F60" i="1" s="1"/>
  <c r="D54" i="11"/>
  <c r="C59" i="1"/>
  <c r="C60" i="1" s="1"/>
  <c r="E54" i="11"/>
  <c r="C55" i="1"/>
  <c r="E25" i="11"/>
  <c r="H60" i="1"/>
  <c r="L25" i="11"/>
  <c r="I55" i="1"/>
  <c r="I56" i="1" s="1"/>
  <c r="F8" i="11"/>
  <c r="G60" i="1"/>
  <c r="K45" i="11"/>
  <c r="I5" i="11"/>
  <c r="M12" i="11" s="1"/>
  <c r="B45" i="11"/>
  <c r="N13" i="11"/>
  <c r="E7" i="11"/>
  <c r="I54" i="1"/>
  <c r="L53" i="11"/>
  <c r="U56" i="1"/>
  <c r="I58" i="1"/>
  <c r="K56" i="1"/>
  <c r="L25" i="1"/>
  <c r="H13" i="11"/>
  <c r="C54" i="1"/>
  <c r="C56" i="1" s="1"/>
  <c r="L54" i="1"/>
  <c r="K8" i="11"/>
  <c r="K7" i="11"/>
  <c r="K9" i="11" s="1"/>
  <c r="J13" i="11"/>
  <c r="F22" i="11"/>
  <c r="F24" i="11" s="1"/>
  <c r="U60" i="1"/>
  <c r="P8" i="11"/>
  <c r="L58" i="1"/>
  <c r="L60" i="1" s="1"/>
  <c r="O56" i="1"/>
  <c r="I13" i="11"/>
  <c r="T51" i="1"/>
  <c r="S35" i="1"/>
  <c r="S36" i="1" s="1"/>
  <c r="L59" i="1"/>
  <c r="H56" i="1"/>
  <c r="D24" i="11"/>
  <c r="O52" i="11"/>
  <c r="O21" i="11"/>
  <c r="O53" i="11"/>
  <c r="L55" i="1"/>
  <c r="P12" i="11"/>
  <c r="P56" i="1"/>
  <c r="S58" i="1"/>
  <c r="J60" i="1"/>
  <c r="B60" i="1"/>
  <c r="C5" i="11"/>
  <c r="C8" i="11" s="1"/>
  <c r="F36" i="1"/>
  <c r="O13" i="11"/>
  <c r="O22" i="11"/>
  <c r="O24" i="11" s="1"/>
  <c r="J25" i="11"/>
  <c r="I60" i="1"/>
  <c r="J12" i="11"/>
  <c r="P60" i="1"/>
  <c r="S55" i="1"/>
  <c r="S56" i="1" s="1"/>
  <c r="S59" i="1"/>
  <c r="M45" i="11"/>
  <c r="E58" i="11"/>
  <c r="P13" i="11"/>
  <c r="E8" i="11"/>
  <c r="P45" i="11"/>
  <c r="N12" i="11"/>
  <c r="P7" i="11"/>
  <c r="D45" i="11"/>
  <c r="N54" i="11"/>
  <c r="M8" i="11"/>
  <c r="G7" i="11"/>
  <c r="G8" i="11"/>
  <c r="E60" i="1"/>
  <c r="M56" i="1"/>
  <c r="N35" i="11"/>
  <c r="N44" i="11" s="1"/>
  <c r="N45" i="11" s="1"/>
  <c r="N25" i="1"/>
  <c r="G56" i="1"/>
  <c r="E56" i="1"/>
  <c r="D60" i="1"/>
  <c r="J7" i="11"/>
  <c r="J8" i="11"/>
  <c r="L56" i="1"/>
  <c r="D54" i="1"/>
  <c r="D5" i="11"/>
  <c r="H12" i="11" s="1"/>
  <c r="P58" i="11"/>
  <c r="J56" i="1"/>
  <c r="K12" i="11"/>
  <c r="H7" i="11"/>
  <c r="H8" i="11"/>
  <c r="M7" i="11"/>
  <c r="L24" i="11"/>
  <c r="M60" i="1"/>
  <c r="L12" i="11"/>
  <c r="L58" i="11"/>
  <c r="L8" i="11"/>
  <c r="L9" i="11" s="1"/>
  <c r="I7" i="11"/>
  <c r="I12" i="11"/>
  <c r="O58" i="11"/>
  <c r="O7" i="11"/>
  <c r="O12" i="11"/>
  <c r="O8" i="11"/>
  <c r="D55" i="1"/>
  <c r="J45" i="11"/>
  <c r="P52" i="11"/>
  <c r="P54" i="11" s="1"/>
  <c r="P21" i="11"/>
  <c r="P25" i="11" s="1"/>
  <c r="F7" i="11"/>
  <c r="F12" i="11"/>
  <c r="D59" i="1"/>
  <c r="M58" i="11"/>
  <c r="L53" i="5"/>
  <c r="L65" i="5"/>
  <c r="M64" i="5"/>
  <c r="U64" i="5" s="1"/>
  <c r="U58" i="5"/>
  <c r="J59" i="5"/>
  <c r="J62" i="5"/>
  <c r="T59" i="5"/>
  <c r="I65" i="5"/>
  <c r="T65" i="5" s="1"/>
  <c r="U51" i="5"/>
  <c r="M53" i="5"/>
  <c r="U53" i="5" s="1"/>
  <c r="M63" i="5"/>
  <c r="U63" i="5" s="1"/>
  <c r="G20" i="5"/>
  <c r="G56" i="5"/>
  <c r="G17" i="5"/>
  <c r="G23" i="5" s="1"/>
  <c r="D80" i="11"/>
  <c r="D115" i="5"/>
  <c r="D118" i="5" s="1"/>
  <c r="L63" i="5"/>
  <c r="M115" i="5"/>
  <c r="U11" i="5"/>
  <c r="M80" i="11"/>
  <c r="E53" i="5"/>
  <c r="S53" i="5" s="1"/>
  <c r="S51" i="5"/>
  <c r="L80" i="11"/>
  <c r="L115" i="5"/>
  <c r="L118" i="5" s="1"/>
  <c r="I80" i="11"/>
  <c r="M59" i="5"/>
  <c r="E65" i="5"/>
  <c r="S65" i="5" s="1"/>
  <c r="S59" i="5"/>
  <c r="U17" i="5"/>
  <c r="M23" i="5"/>
  <c r="U23" i="5" s="1"/>
  <c r="P80" i="11"/>
  <c r="P115" i="5"/>
  <c r="P118" i="5" s="1"/>
  <c r="C62" i="5"/>
  <c r="C59" i="5"/>
  <c r="C65" i="5" s="1"/>
  <c r="E11" i="5"/>
  <c r="S9" i="5"/>
  <c r="E23" i="5"/>
  <c r="S23" i="5" s="1"/>
  <c r="J115" i="5"/>
  <c r="J118" i="5" s="1"/>
  <c r="J80" i="11"/>
  <c r="D59" i="5"/>
  <c r="D65" i="5" s="1"/>
  <c r="P23" i="5"/>
  <c r="M120" i="5"/>
  <c r="U96" i="5"/>
  <c r="J23" i="5"/>
  <c r="F62" i="5"/>
  <c r="D23" i="5"/>
  <c r="K115" i="5"/>
  <c r="K118" i="5" s="1"/>
  <c r="K80" i="11"/>
  <c r="N24" i="11"/>
  <c r="L45" i="11"/>
  <c r="F45" i="11"/>
  <c r="N9" i="11"/>
  <c r="K54" i="11"/>
  <c r="M54" i="11"/>
  <c r="B25" i="11"/>
  <c r="E9" i="11" l="1"/>
  <c r="I8" i="11"/>
  <c r="I58" i="11"/>
  <c r="L54" i="11"/>
  <c r="U26" i="7"/>
  <c r="T115" i="5"/>
  <c r="I118" i="5"/>
  <c r="T118" i="5" s="1"/>
  <c r="J65" i="5"/>
  <c r="U12" i="4"/>
  <c r="J57" i="4"/>
  <c r="T55" i="4"/>
  <c r="U55" i="4"/>
  <c r="T57" i="4"/>
  <c r="N45" i="4"/>
  <c r="V45" i="4" s="1"/>
  <c r="V41" i="4"/>
  <c r="U57" i="4"/>
  <c r="V29" i="4"/>
  <c r="V27" i="4"/>
  <c r="N57" i="4"/>
  <c r="V12" i="4"/>
  <c r="N16" i="4"/>
  <c r="U29" i="4"/>
  <c r="J61" i="4"/>
  <c r="T16" i="4"/>
  <c r="F61" i="4"/>
  <c r="O57" i="4"/>
  <c r="O16" i="4"/>
  <c r="O61" i="4" s="1"/>
  <c r="K61" i="4"/>
  <c r="U16" i="4"/>
  <c r="S17" i="3"/>
  <c r="S27" i="3"/>
  <c r="F31" i="6"/>
  <c r="T29" i="6"/>
  <c r="C31" i="6"/>
  <c r="S29" i="6"/>
  <c r="K22" i="3"/>
  <c r="J31" i="6"/>
  <c r="U29" i="6"/>
  <c r="U17" i="3"/>
  <c r="U22" i="3"/>
  <c r="J27" i="3"/>
  <c r="F27" i="3"/>
  <c r="T27" i="3" s="1"/>
  <c r="T22" i="3"/>
  <c r="O9" i="11"/>
  <c r="M9" i="11"/>
  <c r="I9" i="11"/>
  <c r="F9" i="11"/>
  <c r="D56" i="1"/>
  <c r="O25" i="11"/>
  <c r="G12" i="11"/>
  <c r="C7" i="11"/>
  <c r="C9" i="11" s="1"/>
  <c r="S60" i="1"/>
  <c r="T55" i="1"/>
  <c r="T58" i="1"/>
  <c r="T54" i="1"/>
  <c r="T56" i="1" s="1"/>
  <c r="C58" i="11"/>
  <c r="O54" i="11"/>
  <c r="P9" i="11"/>
  <c r="F25" i="11"/>
  <c r="T59" i="1"/>
  <c r="G9" i="11"/>
  <c r="D58" i="11"/>
  <c r="H9" i="11"/>
  <c r="J9" i="11"/>
  <c r="D7" i="11"/>
  <c r="D8" i="11"/>
  <c r="M123" i="5"/>
  <c r="U120" i="5"/>
  <c r="M118" i="5"/>
  <c r="U118" i="5" s="1"/>
  <c r="U115" i="5"/>
  <c r="M65" i="5"/>
  <c r="U65" i="5" s="1"/>
  <c r="U59" i="5"/>
  <c r="S11" i="5"/>
  <c r="E115" i="5"/>
  <c r="E80" i="11"/>
  <c r="G59" i="5"/>
  <c r="G65" i="5" s="1"/>
  <c r="G62" i="5"/>
  <c r="U123" i="5" l="1"/>
  <c r="N61" i="4"/>
  <c r="V16" i="4"/>
  <c r="T61" i="4"/>
  <c r="U61" i="4"/>
  <c r="U31" i="6"/>
  <c r="J39" i="6"/>
  <c r="U39" i="6" s="1"/>
  <c r="K27" i="3"/>
  <c r="C39" i="6"/>
  <c r="S39" i="6" s="1"/>
  <c r="S31" i="6"/>
  <c r="F39" i="6"/>
  <c r="T39" i="6" s="1"/>
  <c r="T31" i="6"/>
  <c r="T60" i="1"/>
  <c r="D9" i="11"/>
  <c r="E118" i="5"/>
  <c r="S118" i="5" s="1"/>
  <c r="S115" i="5"/>
  <c r="U27" i="3" l="1"/>
  <c r="V34" i="4" l="1"/>
  <c r="V38" i="4"/>
  <c r="V50" i="4"/>
  <c r="V54" i="4"/>
</calcChain>
</file>

<file path=xl/sharedStrings.xml><?xml version="1.0" encoding="utf-8"?>
<sst xmlns="http://schemas.openxmlformats.org/spreadsheetml/2006/main" count="644" uniqueCount="267">
  <si>
    <t>FY22</t>
  </si>
  <si>
    <t>FY23</t>
  </si>
  <si>
    <t>FY24</t>
  </si>
  <si>
    <t>Annual Financials</t>
  </si>
  <si>
    <t>1Q</t>
  </si>
  <si>
    <t>2Q</t>
  </si>
  <si>
    <t>3Q</t>
  </si>
  <si>
    <t>4Q</t>
  </si>
  <si>
    <t>Housing</t>
  </si>
  <si>
    <t>Used car</t>
  </si>
  <si>
    <t>Other</t>
  </si>
  <si>
    <t>Mix</t>
  </si>
  <si>
    <t>CMML</t>
  </si>
  <si>
    <t>AUM Mix - overall</t>
  </si>
  <si>
    <t>Retail</t>
  </si>
  <si>
    <t>FY25</t>
  </si>
  <si>
    <t>INR Cr, unless stated otherwise</t>
  </si>
  <si>
    <t>Loans</t>
  </si>
  <si>
    <t>AIF</t>
  </si>
  <si>
    <t>Land &amp; receivables</t>
  </si>
  <si>
    <t>Stage-2 loans</t>
  </si>
  <si>
    <t>Stage-3 loans</t>
  </si>
  <si>
    <t>Stage-1:</t>
  </si>
  <si>
    <t>Liabilities:</t>
  </si>
  <si>
    <t>Net worth</t>
  </si>
  <si>
    <t>Gross debt</t>
  </si>
  <si>
    <t>Total liabilities</t>
  </si>
  <si>
    <t>Assets:</t>
  </si>
  <si>
    <t>Investments In Shriram Group</t>
  </si>
  <si>
    <t xml:space="preserve">Investments In Alternatives and Others </t>
  </si>
  <si>
    <t>Total assets</t>
  </si>
  <si>
    <t>Provisions</t>
  </si>
  <si>
    <t xml:space="preserve">Gross asset under management       </t>
  </si>
  <si>
    <t xml:space="preserve">Net assets under management </t>
  </si>
  <si>
    <t>Net assets / (liability)</t>
  </si>
  <si>
    <t xml:space="preserve">Cash &amp; liquid Investments </t>
  </si>
  <si>
    <t>ECL provision</t>
  </si>
  <si>
    <t>Fixed assets</t>
  </si>
  <si>
    <t>Less: Interest Expense</t>
  </si>
  <si>
    <t>Fee &amp; Commission</t>
  </si>
  <si>
    <t>Dividend</t>
  </si>
  <si>
    <t>Less: 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</si>
  <si>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</si>
  <si>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</si>
  <si>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</si>
  <si>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</si>
  <si>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</t>
  </si>
  <si>
    <t xml:space="preserve">Current &amp; Deferred Tax </t>
  </si>
  <si>
    <t>Associate Income</t>
  </si>
  <si>
    <t>Reported Net Profit / Loss after Tax</t>
  </si>
  <si>
    <t>Interest Income</t>
  </si>
  <si>
    <t>Exceptional (Expense) / Gain</t>
  </si>
  <si>
    <t>Others</t>
  </si>
  <si>
    <t>Growth Business</t>
  </si>
  <si>
    <t>Total</t>
  </si>
  <si>
    <t>POCI</t>
  </si>
  <si>
    <t>Retail Asset Quality</t>
  </si>
  <si>
    <t>Total Assets</t>
  </si>
  <si>
    <t>Total Provisions</t>
  </si>
  <si>
    <t>Stage-1</t>
  </si>
  <si>
    <t>Stage-2</t>
  </si>
  <si>
    <t>Stage-3</t>
  </si>
  <si>
    <t>Sub-Total</t>
  </si>
  <si>
    <t>Total AUM</t>
  </si>
  <si>
    <t>Provision Coverage Ratio</t>
  </si>
  <si>
    <t>Total provisions as a % of total AUM</t>
  </si>
  <si>
    <t>NPA Ratios</t>
  </si>
  <si>
    <t>GNPA ratio %</t>
  </si>
  <si>
    <t>NNPA ratio %</t>
  </si>
  <si>
    <t>P&amp;L - SEBI Format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</si>
  <si>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</si>
  <si>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</si>
  <si>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</si>
  <si>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</si>
  <si>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</si>
  <si>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</si>
  <si>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income</t>
  </si>
  <si>
    <t>Finance costs</t>
  </si>
  <si>
    <t>Fees and commission expenses</t>
  </si>
  <si>
    <t>Employee benefits expenses</t>
  </si>
  <si>
    <t>Depreciation, amortisation and impairment</t>
  </si>
  <si>
    <t>Other expenses</t>
  </si>
  <si>
    <t>Share of net profit of associates and joint ventures</t>
  </si>
  <si>
    <t xml:space="preserve">Current Tax </t>
  </si>
  <si>
    <t>Deferred Tax (net)</t>
  </si>
  <si>
    <t>SEBI P&amp;L</t>
  </si>
  <si>
    <t>DA income</t>
  </si>
  <si>
    <t>Penal Interest</t>
  </si>
  <si>
    <t>IR deck</t>
  </si>
  <si>
    <t>NPA recovery</t>
  </si>
  <si>
    <t>Shriram brands sale</t>
  </si>
  <si>
    <t>FV (gain)/loss</t>
  </si>
  <si>
    <t>Opex</t>
  </si>
  <si>
    <t>PFMPL Goodwill Write Off /SEBI Order</t>
  </si>
  <si>
    <t>Land MTM</t>
  </si>
  <si>
    <t>PBT</t>
  </si>
  <si>
    <t>MF income</t>
  </si>
  <si>
    <t>Interest expense</t>
  </si>
  <si>
    <t>Net loss / (gain) on fair value changes</t>
  </si>
  <si>
    <t>Revenue from operations</t>
  </si>
  <si>
    <t>Total income</t>
  </si>
  <si>
    <t>Expenses</t>
  </si>
  <si>
    <t>Total expenses</t>
  </si>
  <si>
    <t>Profit / (loss) before tax</t>
  </si>
  <si>
    <t>Profit / (loss) before share of net profit of associates and joint ventures, exceptional items and tax</t>
  </si>
  <si>
    <t>Profit / (loss) after share of net profit of associates and joint ventures before exceptional items and tax</t>
  </si>
  <si>
    <t>Tax expense / (credit)</t>
  </si>
  <si>
    <t xml:space="preserve">Profit / (loss) for the period / year </t>
  </si>
  <si>
    <t>AUM</t>
  </si>
  <si>
    <t>P&amp;L Bridge</t>
  </si>
  <si>
    <t>Retail AUM</t>
  </si>
  <si>
    <t xml:space="preserve">SEBI P&amp;L </t>
  </si>
  <si>
    <t>NPA Recovery (Other Operating Revenue)</t>
  </si>
  <si>
    <t>Shriram Gain</t>
  </si>
  <si>
    <t>Mutual Fund FV Gain</t>
  </si>
  <si>
    <t>Retail AUM:</t>
  </si>
  <si>
    <t>Wholesale 2.0 AUM:</t>
  </si>
  <si>
    <t>BALANCE SHEET</t>
  </si>
  <si>
    <t>P&amp;L STATEMENT</t>
  </si>
  <si>
    <t>Legacy AUM</t>
  </si>
  <si>
    <t>Wholesale 2.0 Asset Quality</t>
  </si>
  <si>
    <t xml:space="preserve">Asset quality </t>
  </si>
  <si>
    <t>Consol. P&amp;L statement as per SEBI format</t>
  </si>
  <si>
    <t>Consol. Balance sheet as per IR Deck format</t>
  </si>
  <si>
    <t>Consol. P&amp;L statement as per IR Deck format</t>
  </si>
  <si>
    <t>Product wise AUM mix of Growth business (Retail &amp; Wholesale 2.0) and Category wise AUM mix of Legacy business</t>
  </si>
  <si>
    <t>Historical data sheet (FY22, FY23, FY24, FY25)</t>
  </si>
  <si>
    <t>Legacy (Discontinued) Business</t>
  </si>
  <si>
    <t>Legacy Asset Quality</t>
  </si>
  <si>
    <t>NPA ratios and stage wise asset classification and provisions of Growth business (Retail &amp; Wholesale 2.0), Legacy business, and Total assets</t>
  </si>
  <si>
    <t>Balance Sheet</t>
  </si>
  <si>
    <t>P&amp;L</t>
  </si>
  <si>
    <t>Reconciliation of major P&amp;L line items as reported in the SEBI format
and as is the IR Deck format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</si>
  <si>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</si>
  <si>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</si>
  <si>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</si>
  <si>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</si>
  <si>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</si>
  <si>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</si>
  <si>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</si>
  <si>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</si>
  <si>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</si>
  <si>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</si>
  <si>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</si>
  <si>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</si>
  <si>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</si>
  <si>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</si>
  <si>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Particulars</t>
  </si>
  <si>
    <t>Growth</t>
  </si>
  <si>
    <t>Legacy</t>
  </si>
  <si>
    <t>Retail AUM Mix</t>
  </si>
  <si>
    <t>LAP</t>
  </si>
  <si>
    <t>Business loan</t>
  </si>
  <si>
    <t>Salaried PL</t>
  </si>
  <si>
    <t>Digital loan</t>
  </si>
  <si>
    <t>Growth : Legacy Mix</t>
  </si>
  <si>
    <t>WS 2.0 AUM Mix</t>
  </si>
  <si>
    <t>Real estate</t>
  </si>
  <si>
    <t>Cost of funds</t>
  </si>
  <si>
    <t>Fee income</t>
  </si>
  <si>
    <t>PPOP</t>
  </si>
  <si>
    <t>Credit cost</t>
  </si>
  <si>
    <t>Gross credit cost</t>
  </si>
  <si>
    <t>POCI recoveries &amp; others</t>
  </si>
  <si>
    <t>Net credit cost</t>
  </si>
  <si>
    <t>Total PBT</t>
  </si>
  <si>
    <t>PBT ex-POCI recoveries &amp; others</t>
  </si>
  <si>
    <t>Consol. NIM</t>
  </si>
  <si>
    <t>Growth  NIM</t>
  </si>
  <si>
    <t>WS2.0</t>
  </si>
  <si>
    <t>YoY Growth</t>
  </si>
  <si>
    <t>NIMs</t>
  </si>
  <si>
    <t>Growth AUM Mix</t>
  </si>
  <si>
    <t>Growth AUM</t>
  </si>
  <si>
    <t>Total (INR Cr)</t>
  </si>
  <si>
    <t>Consol. AUM</t>
  </si>
  <si>
    <t>Wholesale 2.0 AUM</t>
  </si>
  <si>
    <t>Legacy AUM (INR Cr)</t>
  </si>
  <si>
    <t>% Total AUM</t>
  </si>
  <si>
    <t>Net Interest Income</t>
  </si>
  <si>
    <t>Other Income</t>
  </si>
  <si>
    <t>Total Income</t>
  </si>
  <si>
    <t>Employee expenses</t>
  </si>
  <si>
    <t>Operating expenses</t>
  </si>
  <si>
    <t xml:space="preserve">Others </t>
  </si>
  <si>
    <t>Total Business</t>
  </si>
  <si>
    <t>Story in charts</t>
  </si>
  <si>
    <t>Charts on the key operational &amp; financial trends</t>
  </si>
  <si>
    <t>Growth stage 3 assets</t>
  </si>
  <si>
    <t>Other Operating Income</t>
  </si>
  <si>
    <t>Net loss on derecognition of financial instruments under amortised cost category</t>
  </si>
  <si>
    <t>Impairment allowance / (reversals) on financial instruments</t>
  </si>
  <si>
    <t>Exceptional gains / (losses)</t>
  </si>
  <si>
    <t>Tax adjustment of earlier years</t>
  </si>
  <si>
    <t>Term</t>
  </si>
  <si>
    <t>Description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</si>
  <si>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</si>
  <si>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</si>
  <si>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</si>
  <si>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</si>
  <si>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</si>
  <si>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</si>
  <si>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Gross credit cost less recoveries from POCI book and other gains</t>
  </si>
  <si>
    <t>Net interest income (NII)</t>
  </si>
  <si>
    <t>NII = interest income - interest expense</t>
  </si>
  <si>
    <t xml:space="preserve">Net interest margin (NIM) </t>
  </si>
  <si>
    <t>NIM = net interest income / on book average AUM</t>
  </si>
  <si>
    <t xml:space="preserve">POCI (purchased or originated credit impaired) represents the stressed retail book acquired from DHFL at discounted value. </t>
  </si>
  <si>
    <t xml:space="preserve">It includes POCI, SRs, PTC, DA, co-lending &amp; excludes acquired off-book assets (INR 8,002 Cr as of Q2 FY25) in the nature of DA &amp; PTC as part of the DHFL acquisition </t>
  </si>
  <si>
    <t xml:space="preserve">Wholesale 2.0 </t>
  </si>
  <si>
    <t>It refers to loans  sanctioned under new real estate (RE) and corporate mid market loans (CMML) from FY22 onwards</t>
  </si>
  <si>
    <t>Less: Net credit cost</t>
  </si>
  <si>
    <t>FY 23</t>
  </si>
  <si>
    <t>Housing loans</t>
  </si>
  <si>
    <t>Used car loans</t>
  </si>
  <si>
    <t>Digital loans</t>
  </si>
  <si>
    <t>Business loans (ex-Microfinance)</t>
  </si>
  <si>
    <t>Microfinance</t>
  </si>
  <si>
    <t>Loan against Mutual Funds</t>
  </si>
  <si>
    <t>Security Receipts (SRs)</t>
  </si>
  <si>
    <t xml:space="preserve">Total Retail </t>
  </si>
  <si>
    <t>Total Wholesale 2.0</t>
  </si>
  <si>
    <t>Total Legacy</t>
  </si>
  <si>
    <t>AUM mix - within Wholesale 2.0</t>
  </si>
  <si>
    <t>AUM mix - within Retail</t>
  </si>
  <si>
    <t>Business wise pro forma P&amp;L statements of Growth business, Legacy business, Others and Total</t>
  </si>
  <si>
    <t>Impairment on Investment Property</t>
  </si>
  <si>
    <t>DA Upfront Profit</t>
  </si>
  <si>
    <t xml:space="preserve">Revenue item: Net gain / (loss) on fair value changes </t>
  </si>
  <si>
    <t xml:space="preserve">Expense item: Net loss / (gain) on fair value changes </t>
  </si>
  <si>
    <t>DA</t>
  </si>
  <si>
    <t>Co-lending</t>
  </si>
  <si>
    <t>AUM Bridge</t>
  </si>
  <si>
    <t>Profit for the period / year from discontinuing operations</t>
  </si>
  <si>
    <t>POCI recoveries &amp; other gains</t>
  </si>
  <si>
    <t>Sheet name</t>
  </si>
  <si>
    <t xml:space="preserve">    Growth business ratios  (as % of average AUM of Growth business)</t>
  </si>
  <si>
    <t xml:space="preserve">Legacy AUM </t>
  </si>
  <si>
    <t>Wholesale AUM</t>
  </si>
  <si>
    <t>Retail AUM used here</t>
  </si>
  <si>
    <t>Retail AUM, as defined on 'AUM' sheet</t>
  </si>
  <si>
    <t>Total AUM used here</t>
  </si>
  <si>
    <t>Total AUM, as defined on 'AUM' sheet</t>
  </si>
  <si>
    <t>Growth Asset Quality</t>
  </si>
  <si>
    <t>Q1FY24</t>
  </si>
  <si>
    <t>Q2FY24</t>
  </si>
  <si>
    <t>Q3FY24</t>
  </si>
  <si>
    <t>Q4FY24</t>
  </si>
  <si>
    <t>Q1FY25</t>
  </si>
  <si>
    <t>Q2FY25</t>
  </si>
  <si>
    <t>Q3FY25</t>
  </si>
  <si>
    <t>Q3 FY25</t>
  </si>
  <si>
    <t>Pro forma business wise P&amp;L | Growth</t>
  </si>
  <si>
    <t>Pro forma business wise P&amp;L | Legacy</t>
  </si>
  <si>
    <t>Pro forma business wise P&amp;L | Others (Alternatives, Real estate &amp; Corporates)</t>
  </si>
  <si>
    <t>Pro forma business-wise P&amp;L</t>
  </si>
  <si>
    <t>`</t>
  </si>
  <si>
    <t>Trading Income</t>
  </si>
  <si>
    <t>Trading Income (moved to other income)</t>
  </si>
  <si>
    <t>AIF recovery</t>
  </si>
  <si>
    <t>Q4 FY25</t>
  </si>
  <si>
    <t>Net total income</t>
  </si>
  <si>
    <t>Q4FY25</t>
  </si>
  <si>
    <t>Check</t>
  </si>
  <si>
    <t xml:space="preserve">Net total income </t>
  </si>
  <si>
    <t>Total income = Yield + fees + other income</t>
  </si>
  <si>
    <t>Net total income = Total income – Cost of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</si>
</sst>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 * #,##0_ ;_ * \-#,##0_ ;_ * &quot;-&quot;_ ;_ @_ "/>
    <numFmt numFmtId="165" formatCode="_ &quot;₹&quot;\ * #,##0.00_ ;_ &quot;₹&quot;\ * \-#,##0.00_ ;_ &quot;₹&quot;\ * &quot;-&quot;??_ ;_ @_ "/>
    <numFmt numFmtId="166" formatCode="_ * #,##0.00_ ;_ * \-#,##0.00_ ;_ * &quot;-&quot;??_ ;_ @_ "/>
    <numFmt numFmtId="167" formatCode="0.0%"/>
    <numFmt numFmtId="168" formatCode="_(* #,##0_);_(* \(#,##0\);_(* &quot;-&quot;??_);_(@_)"/>
    <numFmt numFmtId="169" formatCode="0.000"/>
    <numFmt numFmtId="170" formatCode="_-* #,##0_-;\-* #,##0_-;_-* &quot;-&quot;_-;_-@_-"/>
    <numFmt numFmtId="171" formatCode="_-&quot;£&quot;* #,##0.00_-;\-&quot;£&quot;* #,##0.00_-;_-&quot;£&quot;* &quot;-&quot;??_-;_-@_-"/>
    <numFmt numFmtId="172" formatCode="_-* #,##0.00_-;\-* #,##0.00_-;_-* &quot;-&quot;??_-;_-@_-"/>
    <numFmt numFmtId="173" formatCode="[$-409]dd/mmm/yy;@"/>
    <numFmt numFmtId="174" formatCode="_ * #,##0_ ;_ * \-#,##0_ ;_ * &quot;-&quot;??_ ;_ @_ "/>
    <numFmt numFmtId="175" formatCode="0.00_)"/>
    <numFmt numFmtId="176" formatCode="General_)"/>
    <numFmt numFmtId="177" formatCode="_ * #,##0.00_)&quot;£&quot;_ ;_ * \(#,##0.00\)&quot;£&quot;_ ;_ * &quot;-&quot;??_)&quot;£&quot;_ ;_ @_ "/>
    <numFmt numFmtId="178" formatCode="_ * #,##0.00_)_£_ ;_ * \(#,##0.00\)_£_ ;_ * &quot;-&quot;??_)_£_ ;_ @_ "/>
    <numFmt numFmtId="179" formatCode="_(* #,##0.00_);_(* \(#,##0.00\);_(* \-??_);_(@_)"/>
    <numFmt numFmtId="180" formatCode="&quot;Rs.&quot;\ #,##0_);\(&quot;Rs.&quot;\ #,##0\)"/>
    <numFmt numFmtId="181" formatCode="&quot;$&quot;#,##0.0_);[Red]\(&quot;$&quot;#,##0.0\)"/>
    <numFmt numFmtId="182" formatCode="&quot;$&quot;#,##0\ ;\(&quot;$&quot;#,##0\)"/>
    <numFmt numFmtId="183" formatCode="000000"/>
    <numFmt numFmtId="184" formatCode="_([$€]* #,##0.00_);_([$€]* \(#,##0.00\);_([$€]* &quot;-&quot;??_);_(@_)"/>
    <numFmt numFmtId="185" formatCode="&quot;$&quot;#,##0;[Red]\-&quot;$&quot;#,##0"/>
    <numFmt numFmtId="186" formatCode="&quot;$&quot;#,##0.00;[Red]\-&quot;$&quot;#,##0.00"/>
    <numFmt numFmtId="187" formatCode="_-* #,##0\ _F_-;\-* #,##0\ _F_-;_-* &quot;-&quot;\ _F_-;_-@_-"/>
    <numFmt numFmtId="188" formatCode="#,##0\ &quot;F&quot;;[Red]\-#,##0\ &quot;F&quot;"/>
    <numFmt numFmtId="189" formatCode="#,##0.00\ &quot;F&quot;;\-#,##0.00\ &quot;F&quot;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_(* #,##0.0_);_(* \(#,##0.0\);_(* &quot;-&quot;_);_(@_)"/>
    <numFmt numFmtId="193" formatCode="_(* #,##0.00_);_(* \(#,##0.00\);_(* &quot;-&quot;_);_(@_)"/>
    <numFmt numFmtId="194" formatCode="_(* #,##0.000_);_(* \(#,##0.000\);_(* &quot;-&quot;_);_(@_)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000000"/>
      </right>
      <top style="thin">
        <color rgb="FF7F7F7F"/>
      </top>
      <bottom/>
      <diagonal/>
    </border>
  </borders>
  <cellStyleXfs count="3759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2" fontId="25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5" fontId="68" fillId="0" borderId="11" applyAlignment="0" applyProtection="0"/>
    <xf numFmtId="0" fontId="22" fillId="0" borderId="0" applyFill="0" applyBorder="0" applyAlignment="0"/>
    <xf numFmtId="176" fontId="74" fillId="0" borderId="0" applyFill="0" applyBorder="0" applyAlignment="0"/>
    <xf numFmtId="169" fontId="74" fillId="0" borderId="0" applyFill="0" applyBorder="0" applyAlignment="0"/>
    <xf numFmtId="0" fontId="22" fillId="0" borderId="0" applyFill="0" applyBorder="0" applyAlignment="0"/>
    <xf numFmtId="177" fontId="22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80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1" fontId="22" fillId="0" borderId="0">
      <alignment horizontal="center"/>
    </xf>
    <xf numFmtId="176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80" fillId="0" borderId="0"/>
    <xf numFmtId="0" fontId="81" fillId="0" borderId="0"/>
    <xf numFmtId="175" fontId="80" fillId="0" borderId="0"/>
    <xf numFmtId="0" fontId="80" fillId="0" borderId="13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3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4">
      <alignment vertical="center"/>
    </xf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184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79" fontId="22" fillId="0" borderId="0" applyFon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5" applyNumberFormat="0" applyAlignment="0" applyProtection="0">
      <alignment horizontal="left" vertical="center"/>
    </xf>
    <xf numFmtId="0" fontId="87" fillId="0" borderId="15" applyNumberFormat="0" applyAlignment="0" applyProtection="0">
      <alignment horizontal="left" vertical="center"/>
    </xf>
    <xf numFmtId="0" fontId="22" fillId="0" borderId="15" applyNumberFormat="0" applyAlignment="0" applyProtection="0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3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8"/>
    <xf numFmtId="185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93" fillId="0" borderId="0"/>
    <xf numFmtId="175" fontId="93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3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2"/>
    <xf numFmtId="0" fontId="101" fillId="51" borderId="12"/>
    <xf numFmtId="0" fontId="22" fillId="51" borderId="12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80" fillId="0" borderId="0"/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103" fillId="63" borderId="21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85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3"/>
    <xf numFmtId="49" fontId="69" fillId="0" borderId="0" applyFill="0" applyBorder="0" applyAlignment="0"/>
    <xf numFmtId="188" fontId="22" fillId="0" borderId="0" applyFill="0" applyBorder="0" applyAlignment="0"/>
    <xf numFmtId="189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3"/>
    <xf numFmtId="0" fontId="86" fillId="0" borderId="13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>
      <alignment horizontal="center" textRotation="180"/>
    </xf>
    <xf numFmtId="171" fontId="110" fillId="0" borderId="0" applyFont="0" applyFill="0" applyBorder="0" applyAlignment="0" applyProtection="0"/>
    <xf numFmtId="172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70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6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6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3" fontId="11" fillId="74" borderId="16" xfId="0" applyNumberFormat="1" applyFont="1" applyFill="1" applyBorder="1" applyAlignment="1">
      <alignment horizontal="left" vertical="center"/>
    </xf>
    <xf numFmtId="3" fontId="11" fillId="74" borderId="16" xfId="0" applyNumberFormat="1" applyFont="1" applyFill="1" applyBorder="1" applyAlignment="1">
      <alignment horizontal="right" vertical="center"/>
    </xf>
    <xf numFmtId="3" fontId="11" fillId="74" borderId="27" xfId="0" applyNumberFormat="1" applyFont="1" applyFill="1" applyBorder="1" applyAlignment="1">
      <alignment horizontal="right" vertical="center"/>
    </xf>
    <xf numFmtId="3" fontId="11" fillId="74" borderId="1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6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6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6" xfId="2" applyFont="1" applyFill="1" applyBorder="1" applyAlignment="1">
      <alignment horizontal="right" vertical="center"/>
    </xf>
    <xf numFmtId="0" fontId="1" fillId="33" borderId="26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41" fontId="1" fillId="76" borderId="0" xfId="0" applyNumberFormat="1" applyFont="1" applyFill="1" applyAlignment="1">
      <alignment horizontal="right" vertical="center"/>
    </xf>
    <xf numFmtId="41" fontId="1" fillId="76" borderId="26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41" fontId="14" fillId="33" borderId="0" xfId="0" applyNumberFormat="1" applyFont="1" applyFill="1" applyAlignment="1">
      <alignment horizontal="right" vertical="center"/>
    </xf>
    <xf numFmtId="41" fontId="14" fillId="33" borderId="26" xfId="0" applyNumberFormat="1" applyFont="1" applyFill="1" applyBorder="1" applyAlignment="1">
      <alignment horizontal="right" vertical="center"/>
    </xf>
    <xf numFmtId="41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1" fillId="74" borderId="10" xfId="0" applyNumberFormat="1" applyFont="1" applyFill="1" applyBorder="1" applyAlignment="1">
      <alignment horizontal="left" vertical="center"/>
    </xf>
    <xf numFmtId="3" fontId="14" fillId="75" borderId="26" xfId="0" applyNumberFormat="1" applyFont="1" applyFill="1" applyBorder="1" applyAlignment="1">
      <alignment horizontal="left" vertical="center"/>
    </xf>
    <xf numFmtId="167" fontId="1" fillId="33" borderId="0" xfId="0" applyNumberFormat="1" applyFont="1" applyFill="1" applyAlignment="1">
      <alignment horizontal="right" vertical="center"/>
    </xf>
    <xf numFmtId="167" fontId="1" fillId="33" borderId="26" xfId="0" applyNumberFormat="1" applyFont="1" applyFill="1" applyBorder="1" applyAlignment="1">
      <alignment horizontal="right" vertical="center"/>
    </xf>
    <xf numFmtId="167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6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6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41" fontId="1" fillId="33" borderId="26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6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6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6" xfId="0" applyNumberFormat="1" applyFont="1" applyFill="1" applyBorder="1" applyAlignment="1">
      <alignment horizontal="left" vertical="center"/>
    </xf>
    <xf numFmtId="3" fontId="14" fillId="75" borderId="16" xfId="0" applyNumberFormat="1" applyFont="1" applyFill="1" applyBorder="1" applyAlignment="1">
      <alignment horizontal="right" vertical="center"/>
    </xf>
    <xf numFmtId="3" fontId="14" fillId="75" borderId="27" xfId="0" applyNumberFormat="1" applyFont="1" applyFill="1" applyBorder="1" applyAlignment="1">
      <alignment horizontal="right" vertical="center"/>
    </xf>
    <xf numFmtId="3" fontId="14" fillId="33" borderId="16" xfId="0" applyNumberFormat="1" applyFont="1" applyFill="1" applyBorder="1" applyAlignment="1">
      <alignment horizontal="left" vertical="center"/>
    </xf>
    <xf numFmtId="3" fontId="1" fillId="33" borderId="16" xfId="0" applyNumberFormat="1" applyFont="1" applyFill="1" applyBorder="1" applyAlignment="1">
      <alignment horizontal="right" vertical="center"/>
    </xf>
    <xf numFmtId="3" fontId="1" fillId="33" borderId="27" xfId="0" applyNumberFormat="1" applyFont="1" applyFill="1" applyBorder="1" applyAlignment="1">
      <alignment horizontal="right" vertical="center"/>
    </xf>
    <xf numFmtId="0" fontId="1" fillId="33" borderId="16" xfId="0" applyFont="1" applyFill="1" applyBorder="1" applyAlignment="1">
      <alignment horizontal="right" vertical="center"/>
    </xf>
    <xf numFmtId="167" fontId="1" fillId="33" borderId="0" xfId="2" applyNumberFormat="1" applyFont="1" applyFill="1" applyBorder="1" applyAlignment="1">
      <alignment horizontal="right" vertical="center"/>
    </xf>
    <xf numFmtId="167" fontId="1" fillId="33" borderId="26" xfId="2" applyNumberFormat="1" applyFont="1" applyFill="1" applyBorder="1" applyAlignment="1">
      <alignment horizontal="right" vertical="center"/>
    </xf>
    <xf numFmtId="167" fontId="1" fillId="33" borderId="0" xfId="2" applyNumberFormat="1" applyFont="1" applyFill="1" applyAlignment="1">
      <alignment horizontal="right" vertical="center"/>
    </xf>
    <xf numFmtId="167" fontId="14" fillId="33" borderId="0" xfId="2" applyNumberFormat="1" applyFont="1" applyFill="1" applyBorder="1" applyAlignment="1">
      <alignment horizontal="right" vertical="center"/>
    </xf>
    <xf numFmtId="167" fontId="14" fillId="33" borderId="26" xfId="2" applyNumberFormat="1" applyFont="1" applyFill="1" applyBorder="1" applyAlignment="1">
      <alignment horizontal="right" vertical="center"/>
    </xf>
    <xf numFmtId="167" fontId="14" fillId="33" borderId="0" xfId="2" applyNumberFormat="1" applyFont="1" applyFill="1" applyAlignment="1">
      <alignment horizontal="right" vertical="center"/>
    </xf>
    <xf numFmtId="3" fontId="119" fillId="75" borderId="16" xfId="0" applyNumberFormat="1" applyFont="1" applyFill="1" applyBorder="1" applyAlignment="1">
      <alignment horizontal="left" vertical="center"/>
    </xf>
    <xf numFmtId="3" fontId="119" fillId="75" borderId="16" xfId="0" applyNumberFormat="1" applyFont="1" applyFill="1" applyBorder="1" applyAlignment="1">
      <alignment horizontal="right" vertical="center"/>
    </xf>
    <xf numFmtId="3" fontId="119" fillId="75" borderId="27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19" fillId="33" borderId="24" xfId="0" applyFont="1" applyFill="1" applyBorder="1" applyAlignment="1">
      <alignment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41" fontId="116" fillId="33" borderId="0" xfId="0" applyNumberFormat="1" applyFont="1" applyFill="1" applyAlignment="1">
      <alignment horizontal="right" vertical="center"/>
    </xf>
    <xf numFmtId="41" fontId="116" fillId="33" borderId="26" xfId="0" applyNumberFormat="1" applyFont="1" applyFill="1" applyBorder="1" applyAlignment="1">
      <alignment horizontal="right" vertical="center"/>
    </xf>
    <xf numFmtId="168" fontId="1" fillId="33" borderId="0" xfId="1" applyNumberFormat="1" applyFont="1" applyFill="1" applyBorder="1" applyAlignment="1">
      <alignment horizontal="right" vertical="center"/>
    </xf>
    <xf numFmtId="168" fontId="1" fillId="33" borderId="26" xfId="1" applyNumberFormat="1" applyFont="1" applyFill="1" applyBorder="1" applyAlignment="1">
      <alignment horizontal="right" vertical="center"/>
    </xf>
    <xf numFmtId="168" fontId="1" fillId="33" borderId="0" xfId="1" applyNumberFormat="1" applyFont="1" applyFill="1" applyAlignment="1">
      <alignment horizontal="right" vertical="center"/>
    </xf>
    <xf numFmtId="0" fontId="1" fillId="33" borderId="25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41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41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7" fontId="0" fillId="33" borderId="0" xfId="0" applyNumberFormat="1" applyFill="1"/>
    <xf numFmtId="0" fontId="15" fillId="74" borderId="0" xfId="0" applyFont="1" applyFill="1"/>
    <xf numFmtId="41" fontId="0" fillId="33" borderId="0" xfId="2" applyNumberFormat="1" applyFont="1" applyFill="1"/>
    <xf numFmtId="167" fontId="0" fillId="33" borderId="0" xfId="2" applyNumberFormat="1" applyFont="1" applyFill="1"/>
    <xf numFmtId="167" fontId="15" fillId="74" borderId="0" xfId="2" applyNumberFormat="1" applyFont="1" applyFill="1"/>
    <xf numFmtId="167" fontId="120" fillId="33" borderId="0" xfId="2" applyNumberFormat="1" applyFont="1" applyFill="1"/>
    <xf numFmtId="41" fontId="1" fillId="33" borderId="0" xfId="1" applyNumberFormat="1" applyFont="1" applyFill="1" applyBorder="1" applyAlignment="1">
      <alignment horizontal="right" vertical="center"/>
    </xf>
    <xf numFmtId="41" fontId="1" fillId="33" borderId="26" xfId="1" applyNumberFormat="1" applyFont="1" applyFill="1" applyBorder="1" applyAlignment="1">
      <alignment horizontal="right" vertical="center"/>
    </xf>
    <xf numFmtId="41" fontId="1" fillId="33" borderId="0" xfId="1" applyNumberFormat="1" applyFont="1" applyFill="1" applyAlignment="1">
      <alignment horizontal="right" vertical="center"/>
    </xf>
    <xf numFmtId="41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9" xfId="0" applyFont="1" applyFill="1" applyBorder="1" applyAlignment="1">
      <alignment horizontal="left" wrapText="1" readingOrder="1"/>
    </xf>
    <xf numFmtId="0" fontId="123" fillId="77" borderId="30" xfId="0" applyFont="1" applyFill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23" fillId="0" borderId="31" xfId="0" applyFont="1" applyBorder="1" applyAlignment="1">
      <alignment horizontal="left" wrapText="1" readingOrder="1"/>
    </xf>
    <xf numFmtId="0" fontId="124" fillId="0" borderId="32" xfId="0" applyFont="1" applyBorder="1" applyAlignment="1">
      <alignment horizontal="left" wrapText="1" readingOrder="1"/>
    </xf>
    <xf numFmtId="0" fontId="123" fillId="0" borderId="33" xfId="0" applyFont="1" applyBorder="1" applyAlignment="1">
      <alignment horizontal="left" vertical="center" wrapText="1" readingOrder="1"/>
    </xf>
    <xf numFmtId="0" fontId="124" fillId="0" borderId="34" xfId="0" applyFont="1" applyBorder="1" applyAlignment="1">
      <alignment horizontal="left" vertical="center" wrapText="1" readingOrder="1"/>
    </xf>
    <xf numFmtId="0" fontId="11" fillId="74" borderId="0" xfId="0" applyFont="1" applyFill="1" applyAlignment="1">
      <alignment horizontal="right"/>
    </xf>
    <xf numFmtId="0" fontId="0" fillId="33" borderId="0" xfId="0" applyFill="1" applyAlignment="1">
      <alignment horizontal="left" vertical="center"/>
    </xf>
    <xf numFmtId="41" fontId="0" fillId="33" borderId="26" xfId="0" applyNumberFormat="1" applyFill="1" applyBorder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7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41" fontId="11" fillId="74" borderId="16" xfId="0" applyNumberFormat="1" applyFont="1" applyFill="1" applyBorder="1" applyAlignment="1">
      <alignment horizontal="right" vertical="center"/>
    </xf>
    <xf numFmtId="41" fontId="11" fillId="74" borderId="27" xfId="0" applyNumberFormat="1" applyFont="1" applyFill="1" applyBorder="1" applyAlignment="1">
      <alignment horizontal="right" vertical="center"/>
    </xf>
    <xf numFmtId="41" fontId="15" fillId="74" borderId="16" xfId="0" applyNumberFormat="1" applyFont="1" applyFill="1" applyBorder="1" applyAlignment="1">
      <alignment horizontal="right" vertical="center"/>
    </xf>
    <xf numFmtId="9" fontId="14" fillId="33" borderId="16" xfId="0" applyNumberFormat="1" applyFont="1" applyFill="1" applyBorder="1" applyAlignment="1">
      <alignment horizontal="right" vertical="center"/>
    </xf>
    <xf numFmtId="4" fontId="1" fillId="33" borderId="0" xfId="0" applyNumberFormat="1" applyFont="1" applyFill="1" applyAlignment="1">
      <alignment horizontal="right" vertical="center"/>
    </xf>
    <xf numFmtId="43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0" fontId="1" fillId="33" borderId="0" xfId="0" applyNumberFormat="1" applyFont="1" applyFill="1" applyAlignment="1">
      <alignment horizontal="right" vertical="center"/>
    </xf>
    <xf numFmtId="192" fontId="1" fillId="33" borderId="0" xfId="0" applyNumberFormat="1" applyFont="1" applyFill="1" applyAlignment="1">
      <alignment horizontal="right" vertical="center"/>
    </xf>
    <xf numFmtId="194" fontId="1" fillId="33" borderId="0" xfId="0" applyNumberFormat="1" applyFont="1" applyFill="1" applyAlignment="1">
      <alignment horizontal="right" vertical="center"/>
    </xf>
    <xf numFmtId="0" fontId="14" fillId="33" borderId="16" xfId="0" applyFont="1" applyFill="1" applyBorder="1" applyAlignment="1">
      <alignment horizontal="left" vertical="center"/>
    </xf>
    <xf numFmtId="41" fontId="14" fillId="33" borderId="16" xfId="0" applyNumberFormat="1" applyFont="1" applyFill="1" applyBorder="1" applyAlignment="1">
      <alignment horizontal="right" vertical="center"/>
    </xf>
    <xf numFmtId="0" fontId="14" fillId="33" borderId="16" xfId="0" applyFont="1" applyFill="1" applyBorder="1" applyAlignment="1">
      <alignment horizontal="right" vertical="center"/>
    </xf>
    <xf numFmtId="41" fontId="0" fillId="33" borderId="0" xfId="1" applyNumberFormat="1" applyFont="1" applyFill="1" applyAlignment="1">
      <alignment horizontal="right" vertical="center"/>
    </xf>
    <xf numFmtId="193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5" xfId="0" applyNumberFormat="1" applyFont="1" applyFill="1" applyBorder="1" applyAlignment="1">
      <alignment horizontal="left" vertical="center"/>
    </xf>
    <xf numFmtId="167" fontId="0" fillId="33" borderId="0" xfId="0" applyNumberFormat="1" applyFill="1" applyAlignment="1">
      <alignment horizontal="right" vertical="center"/>
    </xf>
    <xf numFmtId="167" fontId="0" fillId="33" borderId="26" xfId="0" applyNumberFormat="1" applyFill="1" applyBorder="1" applyAlignment="1">
      <alignment horizontal="right" vertical="center"/>
    </xf>
    <xf numFmtId="168" fontId="0" fillId="33" borderId="0" xfId="1" applyNumberFormat="1" applyFont="1" applyFill="1" applyAlignment="1">
      <alignment horizontal="right" vertical="center"/>
    </xf>
    <xf numFmtId="168" fontId="1" fillId="33" borderId="0" xfId="0" applyNumberFormat="1" applyFont="1" applyFill="1" applyAlignment="1">
      <alignment horizontal="right" vertical="center"/>
    </xf>
    <xf numFmtId="168" fontId="0" fillId="33" borderId="0" xfId="0" applyNumberFormat="1" applyFill="1" applyAlignment="1">
      <alignment horizontal="right" vertical="center"/>
    </xf>
    <xf numFmtId="9" fontId="14" fillId="33" borderId="0" xfId="2" applyFont="1" applyFill="1" applyAlignment="1">
      <alignment horizontal="right" vertical="center"/>
    </xf>
    <xf numFmtId="193" fontId="14" fillId="33" borderId="0" xfId="0" applyNumberFormat="1" applyFont="1" applyFill="1" applyAlignment="1">
      <alignment horizontal="right" vertical="center"/>
    </xf>
    <xf numFmtId="168" fontId="14" fillId="33" borderId="0" xfId="1" applyNumberFormat="1" applyFont="1" applyFill="1" applyAlignment="1">
      <alignment horizontal="right" vertical="center"/>
    </xf>
    <xf numFmtId="168" fontId="14" fillId="33" borderId="26" xfId="1" applyNumberFormat="1" applyFont="1" applyFill="1" applyBorder="1" applyAlignment="1">
      <alignment horizontal="right" vertical="center"/>
    </xf>
    <xf numFmtId="3" fontId="1" fillId="33" borderId="0" xfId="1" applyNumberFormat="1" applyFont="1" applyFill="1" applyAlignment="1">
      <alignment horizontal="right" vertical="center"/>
    </xf>
    <xf numFmtId="2" fontId="1" fillId="33" borderId="0" xfId="2" applyNumberFormat="1" applyFont="1" applyFill="1" applyAlignment="1">
      <alignment horizontal="right" vertical="center"/>
    </xf>
    <xf numFmtId="41" fontId="0" fillId="33" borderId="0" xfId="0" applyNumberFormat="1" applyFont="1" applyFill="1" applyAlignment="1">
      <alignment horizontal="right" vertical="center"/>
    </xf>
    <xf numFmtId="41" fontId="1" fillId="33" borderId="0" xfId="2" applyNumberFormat="1" applyFont="1" applyFill="1" applyAlignment="1">
      <alignment horizontal="right" vertical="center"/>
    </xf>
    <xf numFmtId="9" fontId="1" fillId="33" borderId="0" xfId="2" applyNumberFormat="1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0" xfId="0" applyNumberFormat="1" applyFont="1" applyFill="1" applyBorder="1" applyAlignment="1">
      <alignment horizontal="center" vertical="center"/>
    </xf>
    <xf numFmtId="3" fontId="116" fillId="33" borderId="0" xfId="0" applyNumberFormat="1" applyFont="1" applyFill="1" applyAlignment="1">
      <alignment horizontal="right" vertical="center"/>
    </xf>
    <xf numFmtId="41" fontId="127" fillId="33" borderId="0" xfId="0" applyNumberFormat="1" applyFont="1" applyFill="1" applyAlignment="1">
      <alignment horizontal="right" vertical="center"/>
    </xf>
    <xf numFmtId="41" fontId="127" fillId="33" borderId="26" xfId="0" applyNumberFormat="1" applyFont="1" applyFill="1" applyBorder="1" applyAlignment="1">
      <alignment horizontal="right" vertical="center"/>
    </xf>
    <xf numFmtId="0" fontId="123" fillId="0" borderId="36" xfId="0" applyFont="1" applyBorder="1" applyAlignment="1">
      <alignment horizontal="left" vertical="center" wrapText="1" readingOrder="1"/>
    </xf>
    <xf numFmtId="0" fontId="124" fillId="0" borderId="37" xfId="0" applyFont="1" applyBorder="1" applyAlignment="1">
      <alignment horizontal="left" vertical="center" wrapText="1" readingOrder="1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  <xf numFmtId="3" fontId="11" fillId="73" borderId="28" xfId="0" applyNumberFormat="1" applyFont="1" applyFill="1" applyBorder="1" applyAlignment="1">
      <alignment horizontal="center" vertical="center"/>
    </xf>
    <xf numFmtId="3" fontId="11" fillId="73" borderId="0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184E7D"/>
      <color rgb="FFFE6E00"/>
      <color rgb="FFFFEDE0"/>
      <color rgb="FFCDCBC9"/>
      <color rgb="FFE1F4FD"/>
      <color rgb="FFFCBA58"/>
      <color rgb="FF9A9899"/>
      <color rgb="FFA885C4"/>
      <color rgb="FFFBA58E"/>
      <color rgb="FF97A1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5A00D70-C981-4C61-BAD0-D1FEBB1036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B791E1-5035-4C4C-9375-A006D90B73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C9B745-B1C6-4985-8D62-31F2371A2B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94AD0E1-A006-4DAA-BEA8-4E396CCA2A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9D48672-9D1F-4044-A6A5-6F0CBD6B0C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9B80D5C-9C63-4848-B465-DDDE6F1C13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573FDA7-B191-4878-9472-82726EDFBE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4ADA188-B3DA-4727-BD3B-1775EED425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B407DE2-1567-441B-9FA4-6B048F7F72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28FE90E-F9A1-4BA1-BBBC-3C0565835A6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B0911E-D4E5-48A9-8BBD-91134BDC67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1EAA74D-27C1-48E6-850D-5E229D2851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6183713-5B33-45D0-AE1C-768391B644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D4F7378-31B6-40CF-A4D1-04F41FEE5F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3987FF2-6538-49AA-B81A-2AB329AD33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7D4-4B67-ACA6-BD0F5DC062B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6EB5DBB-32DD-4B39-8744-2482248DF3D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B99-4525-8688-5362D5970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Charts'!$B$3:$Q$3</c:f>
              <c:numCache>
                <c:formatCode>_(* #,##0_);_(* \(#,##0\);_(* "-"_);_(@_)</c:formatCode>
                <c:ptCount val="16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Charts'!$B$7:$Q$7</c15:f>
                <c15:dlblRangeCache>
                  <c:ptCount val="16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  <c:pt idx="14">
                    <c:v>87%</c:v>
                  </c:pt>
                  <c:pt idx="15">
                    <c:v>91%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71FC-4AED-9AB1-245C15BC71C6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60477E-9E7F-45D6-B4C3-647D9EE6E3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97A0103-7FC7-4E38-95EA-12E3615FD8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3C5A66C-CD8F-42D6-90D3-180A8638C9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A0E69E0-D196-45CF-8D7E-46B14946D8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65CCB58-C112-4661-BD47-8432A5B5C3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F85F2F1-050A-44D0-B81D-2AF6A68AB30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BC0DE6A-EDDB-4F98-A73C-F72A3A7F2A1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2551FDE-8113-49D0-8B52-C1D9BBDC73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F520D78-0CB0-49E4-83F7-770081F14E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0E5F397-38C5-4352-974C-0DBD3D5FE8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43A108A-2025-43D2-AEEF-589AD19EA8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68F11FB-4379-47BA-8932-EA8B089A20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3BBAABB-E302-4B43-83A6-5A684A6794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7EA29C-95B9-4F02-910D-5BB38F7C95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B98B000-3933-4243-918F-C924C96FAC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D4-4B67-ACA6-BD0F5DC062B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6F105AD-0595-4651-A03B-560D12055B5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B99-4525-8688-5362D5970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Charts'!$B$4:$Q$4</c:f>
              <c:numCache>
                <c:formatCode>_(* #,##0_);_(* \(#,##0\);_(* "-"_);_(@_)</c:formatCode>
                <c:ptCount val="16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Charts'!$B$8:$Q$8</c15:f>
                <c15:dlblRangeCache>
                  <c:ptCount val="16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  <c:pt idx="14">
                    <c:v>13%</c:v>
                  </c:pt>
                  <c:pt idx="15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Charts'!$B$5:$Q$5</c:f>
              <c:numCache>
                <c:formatCode>_(* #,##0_);_(* \(#,##0\);_(* "-"_);_(@_)</c:formatCode>
                <c:ptCount val="16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  <c:pt idx="14">
                  <c:v>78362.176427805578</c:v>
                </c:pt>
                <c:pt idx="15">
                  <c:v>80689.216460743148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1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014564678969476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PPOP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Charts'!$A$100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Charts'!$B$100:$Q$100</c15:sqref>
                  </c15:fullRef>
                </c:ext>
              </c:extLst>
              <c:f>'Data_Key Charts'!$I$100:$Q$100</c:f>
              <c:numCache>
                <c:formatCode>General</c:formatCode>
                <c:ptCount val="9"/>
                <c:pt idx="0" formatCode="0.0%">
                  <c:v>3.2831378042731521E-2</c:v>
                </c:pt>
                <c:pt idx="1" formatCode="0.0%">
                  <c:v>2.7767943822216732E-2</c:v>
                </c:pt>
                <c:pt idx="2" formatCode="0.0%">
                  <c:v>3.1634534452484986E-2</c:v>
                </c:pt>
                <c:pt idx="3" formatCode="0.0%">
                  <c:v>3.554532860156643E-2</c:v>
                </c:pt>
                <c:pt idx="4" formatCode="0.0%">
                  <c:v>3.3764303338756997E-2</c:v>
                </c:pt>
                <c:pt idx="5" formatCode="0.0%">
                  <c:v>2.6815806388410357E-2</c:v>
                </c:pt>
                <c:pt idx="6" formatCode="0.0%">
                  <c:v>2.6290392812471593E-2</c:v>
                </c:pt>
                <c:pt idx="7" formatCode="0.0%">
                  <c:v>3.0335374054528599E-2</c:v>
                </c:pt>
                <c:pt idx="8" formatCode="0.0%">
                  <c:v>3.5760143640366643E-2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F-49D7-86D6-F082A1E87E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PBT</a:t>
            </a:r>
          </a:p>
        </c:rich>
      </c:tx>
      <c:layout>
        <c:manualLayout>
          <c:xMode val="edge"/>
          <c:yMode val="edge"/>
          <c:x val="2.8287207366612453E-3"/>
          <c:y val="2.7251077142168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72396417520103"/>
          <c:h val="0.6869100337172264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'Data_Key Charts'!$A$113</c:f>
              <c:strCache>
                <c:ptCount val="1"/>
                <c:pt idx="0">
                  <c:v>PBT ex-POCI recoveries &amp; others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Charts'!$B$110:$Q$110</c15:sqref>
                  </c15:fullRef>
                </c:ext>
              </c:extLst>
              <c:f>'Data_Key Charts'!$I$110:$Q$110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Charts'!$B$113:$Q$113</c15:sqref>
                  </c15:fullRef>
                </c:ext>
              </c:extLst>
              <c:f>'Data_Key Charts'!$I$113:$Q$113</c:f>
              <c:numCache>
                <c:formatCode>General</c:formatCode>
                <c:ptCount val="9"/>
                <c:pt idx="0" formatCode="0.0%">
                  <c:v>1.3435378411780942E-2</c:v>
                </c:pt>
                <c:pt idx="1" formatCode="0.0%">
                  <c:v>1.9657225923618529E-2</c:v>
                </c:pt>
                <c:pt idx="2" formatCode="0.0%">
                  <c:v>1.236641304923998E-2</c:v>
                </c:pt>
                <c:pt idx="3" formatCode="0.0%">
                  <c:v>2.1626070659972768E-2</c:v>
                </c:pt>
                <c:pt idx="4" formatCode="0.0%">
                  <c:v>1.8702012404565579E-2</c:v>
                </c:pt>
                <c:pt idx="5" formatCode="0.0%">
                  <c:v>1.0895748818854542E-2</c:v>
                </c:pt>
                <c:pt idx="6" formatCode="0.0%">
                  <c:v>9.0792052030567224E-3</c:v>
                </c:pt>
                <c:pt idx="7" formatCode="0.0%">
                  <c:v>9.3840606190553084E-3</c:v>
                </c:pt>
                <c:pt idx="8" formatCode="0.0%">
                  <c:v>1.535439315970253E-2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F9-44DF-8169-2EC1E08D7C82}"/>
            </c:ext>
          </c:extLst>
        </c:ser>
        <c:ser>
          <c:idx val="2"/>
          <c:order val="2"/>
          <c:tx>
            <c:strRef>
              <c:f>'Data_Key Charts'!$A$112</c:f>
              <c:strCache>
                <c:ptCount val="1"/>
                <c:pt idx="0">
                  <c:v>POCI recoveries &amp; others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Charts'!$B$110:$Q$110</c15:sqref>
                  </c15:fullRef>
                </c:ext>
              </c:extLst>
              <c:f>'Data_Key Charts'!$I$110:$Q$110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Charts'!$B$112:$Q$112</c15:sqref>
                  </c15:fullRef>
                </c:ext>
              </c:extLst>
              <c:f>'Data_Key Charts'!$I$112:$Q$112</c:f>
              <c:numCache>
                <c:formatCode>General</c:formatCode>
                <c:ptCount val="9"/>
                <c:pt idx="0" formatCode="0.0%">
                  <c:v>1.4986922866467601E-2</c:v>
                </c:pt>
                <c:pt idx="1" formatCode="0.0%">
                  <c:v>5.8047818543043401E-3</c:v>
                </c:pt>
                <c:pt idx="2" formatCode="0.0%">
                  <c:v>1.02725111760388E-2</c:v>
                </c:pt>
                <c:pt idx="3" formatCode="0.0%">
                  <c:v>5.0117602118467403E-3</c:v>
                </c:pt>
                <c:pt idx="4" formatCode="0.0%">
                  <c:v>2.9946523905640099E-3</c:v>
                </c:pt>
                <c:pt idx="5" formatCode="0.0%">
                  <c:v>3.7283613162256198E-3</c:v>
                </c:pt>
                <c:pt idx="6" formatCode="0.0%">
                  <c:v>2.4067755097053299E-3</c:v>
                </c:pt>
                <c:pt idx="7" formatCode="0.0%">
                  <c:v>3.4915894960621499E-3</c:v>
                </c:pt>
                <c:pt idx="8" formatCode="0.0%">
                  <c:v>2.3552276816024799E-3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1"/>
          <c:order val="0"/>
          <c:tx>
            <c:strRef>
              <c:f>'Data_Key Charts'!$A$111</c:f>
              <c:strCache>
                <c:ptCount val="1"/>
                <c:pt idx="0">
                  <c:v>Total PBT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Charts'!$B$110:$Q$110</c15:sqref>
                  </c15:fullRef>
                </c:ext>
              </c:extLst>
              <c:f>'Data_Key Charts'!$I$110:$Q$110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Charts'!$B$111:$Q$111</c15:sqref>
                  </c15:fullRef>
                </c:ext>
              </c:extLst>
              <c:f>'Data_Key Charts'!$I$111:$Q$111</c:f>
              <c:numCache>
                <c:formatCode>General</c:formatCode>
                <c:ptCount val="9"/>
                <c:pt idx="0" formatCode="0.0%">
                  <c:v>2.8422301278248543E-2</c:v>
                </c:pt>
                <c:pt idx="1" formatCode="0.0%">
                  <c:v>2.546200777792287E-2</c:v>
                </c:pt>
                <c:pt idx="2" formatCode="0.0%">
                  <c:v>2.263892422527878E-2</c:v>
                </c:pt>
                <c:pt idx="3" formatCode="0.0%">
                  <c:v>2.663783087181951E-2</c:v>
                </c:pt>
                <c:pt idx="4" formatCode="0.0%">
                  <c:v>2.1696664795129588E-2</c:v>
                </c:pt>
                <c:pt idx="5" formatCode="0.0%">
                  <c:v>1.4624110135080162E-2</c:v>
                </c:pt>
                <c:pt idx="6" formatCode="0.0%">
                  <c:v>1.1485980712762052E-2</c:v>
                </c:pt>
                <c:pt idx="7" formatCode="0.0%">
                  <c:v>1.2875650115117458E-2</c:v>
                </c:pt>
                <c:pt idx="8" formatCode="0.0%">
                  <c:v>1.7709620841305011E-2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7897695286299663"/>
          <c:y val="0.14327519019138582"/>
          <c:w val="0.20337190492562807"/>
          <c:h val="0.1236076834477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Credit cost</a:t>
            </a:r>
          </a:p>
        </c:rich>
      </c:tx>
      <c:layout>
        <c:manualLayout>
          <c:xMode val="edge"/>
          <c:yMode val="edge"/>
          <c:x val="7.7162591757789665E-3"/>
          <c:y val="2.7250952842630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66780331436533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Charts'!$A$103</c:f>
              <c:strCache>
                <c:ptCount val="1"/>
                <c:pt idx="0">
                  <c:v>Gross credit cost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Charts'!$B$103:$Q$103</c15:sqref>
                  </c15:fullRef>
                </c:ext>
              </c:extLst>
              <c:f>'Data_Key Charts'!$I$103:$Q$103</c:f>
              <c:numCache>
                <c:formatCode>General</c:formatCode>
                <c:ptCount val="9"/>
                <c:pt idx="0" formatCode="0.0%">
                  <c:v>1.9290628219713474E-2</c:v>
                </c:pt>
                <c:pt idx="1" formatCode="0.0%">
                  <c:v>7.9303299948512082E-3</c:v>
                </c:pt>
                <c:pt idx="2" formatCode="0.0%">
                  <c:v>1.9292228127402881E-2</c:v>
                </c:pt>
                <c:pt idx="3" formatCode="0.0%">
                  <c:v>1.3725710984556827E-2</c:v>
                </c:pt>
                <c:pt idx="4" formatCode="0.0%">
                  <c:v>1.5161181928600161E-2</c:v>
                </c:pt>
                <c:pt idx="5" formatCode="0.0%">
                  <c:v>1.5873488103485798E-2</c:v>
                </c:pt>
                <c:pt idx="6" formatCode="0.0%">
                  <c:v>1.7180972188087285E-2</c:v>
                </c:pt>
                <c:pt idx="7" formatCode="0.0%">
                  <c:v>2.0992578022344062E-2</c:v>
                </c:pt>
                <c:pt idx="8" formatCode="0.0%">
                  <c:v>2.0370865252923562E-2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A-4B4E-A3E0-C76AC6487193}"/>
            </c:ext>
          </c:extLst>
        </c:ser>
        <c:ser>
          <c:idx val="2"/>
          <c:order val="1"/>
          <c:tx>
            <c:strRef>
              <c:f>'Data_Key Charts'!$A$105</c:f>
              <c:strCache>
                <c:ptCount val="1"/>
                <c:pt idx="0">
                  <c:v>Net credit cost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4936834444335965E-2"/>
                  <c:y val="3.4183707927329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C-44F9-AFFD-FDE16C87E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Charts'!$B$105:$Q$105</c15:sqref>
                  </c15:fullRef>
                </c:ext>
              </c:extLst>
              <c:f>'Data_Key Charts'!$I$105:$Q$105</c:f>
              <c:numCache>
                <c:formatCode>General</c:formatCode>
                <c:ptCount val="9"/>
                <c:pt idx="0" formatCode="0.0%">
                  <c:v>4.4090767644829765E-3</c:v>
                </c:pt>
                <c:pt idx="1" formatCode="0.0%">
                  <c:v>2.3059360442938656E-3</c:v>
                </c:pt>
                <c:pt idx="2" formatCode="0.0%">
                  <c:v>8.9956102272062081E-3</c:v>
                </c:pt>
                <c:pt idx="3" formatCode="0.0%">
                  <c:v>8.907497729746916E-3</c:v>
                </c:pt>
                <c:pt idx="4" formatCode="0.0%">
                  <c:v>1.2067638543627409E-2</c:v>
                </c:pt>
                <c:pt idx="5" formatCode="0.0%">
                  <c:v>1.2191696253330197E-2</c:v>
                </c:pt>
                <c:pt idx="6" formatCode="0.0%">
                  <c:v>1.4804412099709537E-2</c:v>
                </c:pt>
                <c:pt idx="7" formatCode="0.0%">
                  <c:v>1.7459723939411139E-2</c:v>
                </c:pt>
                <c:pt idx="8" formatCode="0.0%">
                  <c:v>1.8050522799061632E-2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A-4B4E-A3E0-C76AC6487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  <c:extLst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005963601837232"/>
          <c:y val="3.6700719717424599E-2"/>
          <c:w val="0.13774844261032118"/>
          <c:h val="0.1553408051027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stage</a:t>
            </a:r>
            <a:r>
              <a:rPr lang="en-GB" sz="1200" b="1" baseline="0">
                <a:solidFill>
                  <a:schemeClr val="tx1"/>
                </a:solidFill>
              </a:rPr>
              <a:t> 3 assets</a:t>
            </a:r>
            <a:endParaRPr lang="en-GB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Charts'!$A$108</c:f>
              <c:strCache>
                <c:ptCount val="1"/>
                <c:pt idx="0">
                  <c:v>Growth stage 3 assets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Charts'!$B$108:$Q$108</c15:sqref>
                  </c15:fullRef>
                </c:ext>
              </c:extLst>
              <c:f>'Data_Key Charts'!$I$108:$Q$108</c:f>
              <c:numCache>
                <c:formatCode>0.0%</c:formatCode>
                <c:ptCount val="9"/>
                <c:pt idx="0">
                  <c:v>1.5038962020159403E-2</c:v>
                </c:pt>
                <c:pt idx="1">
                  <c:v>1.6282081697915788E-2</c:v>
                </c:pt>
                <c:pt idx="2">
                  <c:v>1.5560428408577381E-2</c:v>
                </c:pt>
                <c:pt idx="3">
                  <c:v>1.4282416968684942E-2</c:v>
                </c:pt>
                <c:pt idx="4">
                  <c:v>1.1977113220682616E-2</c:v>
                </c:pt>
                <c:pt idx="5">
                  <c:v>1.3732111576651036E-2</c:v>
                </c:pt>
                <c:pt idx="6">
                  <c:v>1.4963550227919642E-2</c:v>
                </c:pt>
                <c:pt idx="7">
                  <c:v>1.6179082720893065E-2</c:v>
                </c:pt>
                <c:pt idx="8">
                  <c:v>1.6308550928452764E-2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6-431C-B2AD-924C6CB7B26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3.0000000000000006E-2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10"/>
          <c:order val="0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Charts'!$B$1:$Q$1</c15:sqref>
                  </c15:fullRef>
                </c:ext>
              </c:extLst>
              <c:f>'Data_Key Charts'!$G$1:$Q$1</c:f>
              <c:strCache>
                <c:ptCount val="11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Charts'!$B$12:$Q$12</c15:sqref>
                  </c15:fullRef>
                </c:ext>
              </c:extLst>
              <c:f>'Data_Key Charts'!$G$12:$Q$12</c:f>
              <c:numCache>
                <c:formatCode>0%</c:formatCode>
                <c:ptCount val="11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  <c:pt idx="9">
                  <c:v>0.16466867094715965</c:v>
                </c:pt>
                <c:pt idx="10">
                  <c:v>0.17203948209995934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1B1-9B08-490F46C0C2A0}"/>
            </c:ext>
          </c:extLst>
        </c:ser>
        <c:ser>
          <c:idx val="11"/>
          <c:order val="1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Charts'!$B$1:$Q$1</c15:sqref>
                  </c15:fullRef>
                </c:ext>
              </c:extLst>
              <c:f>'Data_Key Charts'!$G$1:$Q$1</c:f>
              <c:strCache>
                <c:ptCount val="11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Charts'!$B$13:$Q$13</c15:sqref>
                  </c15:fullRef>
                </c:ext>
              </c:extLst>
              <c:f>'Data_Key Charts'!$G$13:$Q$13</c:f>
              <c:numCache>
                <c:formatCode>0%</c:formatCode>
                <c:ptCount val="11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  <c:pt idx="9">
                  <c:v>0.39965830144272618</c:v>
                </c:pt>
                <c:pt idx="10">
                  <c:v>0.35922357365526203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16-41B1-9B08-490F46C0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482918551500207"/>
          <c:y val="5.0742384843776682E-2"/>
          <c:w val="0.11362510312631668"/>
          <c:h val="0.15591376924014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Charts'!$B$1:$Q$1</c15:sqref>
                  </c15:fullRef>
                </c:ext>
              </c:extLst>
              <c:f>'Data_Key Charts'!$F$1:$Q$1</c:f>
              <c:strCache>
                <c:ptCount val="12"/>
                <c:pt idx="0">
                  <c:v>Q1 FY23</c:v>
                </c:pt>
                <c:pt idx="1">
                  <c:v>Q2 FY23</c:v>
                </c:pt>
                <c:pt idx="2">
                  <c:v>Q3 FY23</c:v>
                </c:pt>
                <c:pt idx="3">
                  <c:v>Q4 FY23</c:v>
                </c:pt>
                <c:pt idx="4">
                  <c:v>Q1 FY24</c:v>
                </c:pt>
                <c:pt idx="5">
                  <c:v>Q2 FY24</c:v>
                </c:pt>
                <c:pt idx="6">
                  <c:v>Q3 FY24</c:v>
                </c:pt>
                <c:pt idx="7">
                  <c:v>Q4 FY24</c:v>
                </c:pt>
                <c:pt idx="8">
                  <c:v>Q1 FY25</c:v>
                </c:pt>
                <c:pt idx="9">
                  <c:v>Q2 FY25</c:v>
                </c:pt>
                <c:pt idx="10">
                  <c:v>Q3 FY25</c:v>
                </c:pt>
                <c:pt idx="11">
                  <c:v>Q4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Charts'!$B$16:$Q$16</c15:sqref>
                  </c15:fullRef>
                </c:ext>
              </c:extLst>
              <c:f>'Data_Key Charts'!$F$16:$Q$16</c:f>
              <c:numCache>
                <c:formatCode>0%</c:formatCode>
                <c:ptCount val="12"/>
                <c:pt idx="0" formatCode="0.0%">
                  <c:v>5.874584893319032E-2</c:v>
                </c:pt>
                <c:pt idx="1" formatCode="0.0%">
                  <c:v>5.0389967901702262E-2</c:v>
                </c:pt>
                <c:pt idx="2" formatCode="0.0%">
                  <c:v>6.4868430047634928E-2</c:v>
                </c:pt>
                <c:pt idx="3" formatCode="0.0%">
                  <c:v>5.7734431844773781E-2</c:v>
                </c:pt>
                <c:pt idx="4" formatCode="0.0%">
                  <c:v>4.2867533064828267E-2</c:v>
                </c:pt>
                <c:pt idx="5" formatCode="0.0%">
                  <c:v>4.6607583283140033E-2</c:v>
                </c:pt>
                <c:pt idx="6" formatCode="0.0%">
                  <c:v>4.9465137869833573E-2</c:v>
                </c:pt>
                <c:pt idx="7" formatCode="0.0%">
                  <c:v>4.5936225591382676E-2</c:v>
                </c:pt>
                <c:pt idx="8" formatCode="0.0%">
                  <c:v>4.8517658496579519E-2</c:v>
                </c:pt>
                <c:pt idx="9" formatCode="0.0%">
                  <c:v>5.1148072740922881E-2</c:v>
                </c:pt>
                <c:pt idx="10" formatCode="0.0%">
                  <c:v>5.7454960525206419E-2</c:v>
                </c:pt>
                <c:pt idx="11" formatCode="0.0%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Charts'!$B$1:$Q$1</c15:sqref>
                  </c15:fullRef>
                </c:ext>
              </c:extLst>
              <c:f>'Data_Key Charts'!$F$1:$Q$1</c:f>
              <c:strCache>
                <c:ptCount val="12"/>
                <c:pt idx="0">
                  <c:v>Q1 FY23</c:v>
                </c:pt>
                <c:pt idx="1">
                  <c:v>Q2 FY23</c:v>
                </c:pt>
                <c:pt idx="2">
                  <c:v>Q3 FY23</c:v>
                </c:pt>
                <c:pt idx="3">
                  <c:v>Q4 FY23</c:v>
                </c:pt>
                <c:pt idx="4">
                  <c:v>Q1 FY24</c:v>
                </c:pt>
                <c:pt idx="5">
                  <c:v>Q2 FY24</c:v>
                </c:pt>
                <c:pt idx="6">
                  <c:v>Q3 FY24</c:v>
                </c:pt>
                <c:pt idx="7">
                  <c:v>Q4 FY24</c:v>
                </c:pt>
                <c:pt idx="8">
                  <c:v>Q1 FY25</c:v>
                </c:pt>
                <c:pt idx="9">
                  <c:v>Q2 FY25</c:v>
                </c:pt>
                <c:pt idx="10">
                  <c:v>Q3 FY25</c:v>
                </c:pt>
                <c:pt idx="11">
                  <c:v>Q4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Charts'!$B$17:$Q$17</c15:sqref>
                  </c15:fullRef>
                </c:ext>
              </c:extLst>
              <c:f>'Data_Key Charts'!$F$17:$Q$17</c:f>
              <c:numCache>
                <c:formatCode>General</c:formatCode>
                <c:ptCount val="12"/>
                <c:pt idx="0" formatCode="0.0%">
                  <c:v>7.5631556728154997E-2</c:v>
                </c:pt>
                <c:pt idx="1" formatCode="0.0%">
                  <c:v>7.6166902486496005E-2</c:v>
                </c:pt>
                <c:pt idx="2" formatCode="0.0%">
                  <c:v>7.9397109416218914E-2</c:v>
                </c:pt>
                <c:pt idx="3" formatCode="0.0%">
                  <c:v>7.8211796343267179E-2</c:v>
                </c:pt>
                <c:pt idx="4" formatCode="0.0%">
                  <c:v>7.3332137786072699E-2</c:v>
                </c:pt>
                <c:pt idx="5" formatCode="0.0%">
                  <c:v>7.1861881198650737E-2</c:v>
                </c:pt>
                <c:pt idx="6" formatCode="0.0%">
                  <c:v>7.1551756902329094E-2</c:v>
                </c:pt>
                <c:pt idx="7" formatCode="0.0%">
                  <c:v>6.6655437336988532E-2</c:v>
                </c:pt>
                <c:pt idx="8" formatCode="0.0%">
                  <c:v>6.4385049827438479E-2</c:v>
                </c:pt>
                <c:pt idx="9" formatCode="0.0%">
                  <c:v>6.2245472835593854E-2</c:v>
                </c:pt>
                <c:pt idx="10" formatCode="0.0%">
                  <c:v>6.5542845558679314E-2</c:v>
                </c:pt>
                <c:pt idx="11" formatCode="0.0%">
                  <c:v>6.4950932942231129E-2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4.0000000000000008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14118020209187032"/>
          <c:w val="0.85934137530468535"/>
          <c:h val="0.763273365181392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29CE4C-AF86-4000-ABAE-98C88EF3FB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7BD68A-6494-4636-9E3E-879CFB3725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7C0A909-C5CB-41F0-AE8D-AC52B627BC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9CC3757-F825-4A11-A64D-BBB6D4E24F3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265AB33-6233-45DD-8851-F2CA3D0142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AEF993B-F190-404B-85D6-D24A58AEB6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660E69-9325-409D-954F-2404898412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B479B9A-6C56-45C3-92B3-D7F67A4829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2258FE2-448A-4EE2-81C7-BCE4F01580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C4B3F05-EF28-4585-8663-C1D0A67103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925F218-AF2B-43C6-81BE-01E5F0C11E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DAFE853-C918-450E-9D4D-43E070E0BB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6AE4C42-643D-45A0-86FE-413949493F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B55819B-1BE0-41CA-BCF8-23847946D5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FE88475-5792-4AAD-97B9-8A06D75FB1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0CA125B-4EF3-43D0-A4CF-36A3EC3833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8C-4A6F-8440-C3D34091E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Charts'!$B$20:$Q$20</c:f>
              <c:numCache>
                <c:formatCode>_(* #,##0_);_(* \(#,##0\);_(* "-"_);_(@_)</c:formatCode>
                <c:ptCount val="16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Charts'!$B$24:$Q$24</c15:f>
                <c15:dlblRangeCache>
                  <c:ptCount val="16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  <c:pt idx="14">
                    <c:v>87%</c:v>
                  </c:pt>
                  <c:pt idx="15">
                    <c:v>88%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A6647EB-C5F9-4EA8-B9E8-526ABE42524F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30DD195-0B9F-4D62-92B9-D381736ED3C0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3B9805E-59AA-4E94-833B-3E8A88A17285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D3623D4-A3C3-4A1B-A88F-1CB83B5A769A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A507FA5-0F20-468E-9358-EBA15B2D8D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B920810-8161-4E4A-8E6F-BA43E19A00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6F05665-AABE-4AAF-8254-00E98BDBC98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1BAC8DE-3D97-4310-8095-9CA4A42849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8461948-57A4-42DE-A71C-4E45B0D2C6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62DE313-AF7C-4514-B68E-E29F2FBAAE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BC9CCA1-1660-4BA3-8614-00A1F08E23B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A71F2E6-666E-4192-8C21-420BC56A1B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43A4119-45FB-429B-A240-8A0EBEE699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0BD629-47EA-4140-8A46-63FA49A157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8C-4A6F-8440-C3D34091E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Charts'!$B$21:$Q$21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Charts'!$B$25:$Q$25</c15:f>
                <c15:dlblRangeCache>
                  <c:ptCount val="16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  <c:pt idx="14">
                    <c:v>13%</c:v>
                  </c:pt>
                  <c:pt idx="15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Charts'!$B$22:$Q$22</c:f>
              <c:numCache>
                <c:formatCode>_(* #,##0_);_(* \(#,##0\);_(* "-"_);_(@_)</c:formatCode>
                <c:ptCount val="16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5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0AAFD1-57AC-410B-B864-F14741B1748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1A16675-4C80-4117-A93E-0A2F5DF451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D82501B-F2E3-4499-BB63-5EF41B60A3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DB2465A-80B6-429F-933A-D73B55D9FF8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76F8234-A780-4201-9CCF-F572737498E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D7E9524-3386-414E-A7E1-620F7C8B5D3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6D4376E-AA87-4CAF-8AF5-23F9075491B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5D9C3C2-5B38-4C95-8082-C6530A630F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63D3D76-CF4C-43F7-BC86-159C8886D01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3075FEE-0639-4260-BC7C-F69F2894BBD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F501B69-343A-41D3-9A49-2F72044C633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B84711C-9946-4636-8B32-823C28C0F3D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FBE82E2-2AFD-42C2-A4C0-AE9B45EB42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75078D4-93A5-4E88-B53B-2A4A233860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57B2436-F220-49F2-87BF-F20F6BBABEA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BA6A6BA-CBBE-4F03-869A-5A350207CF3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Charts'!$B$29:$Q$29</c:f>
              <c:numCache>
                <c:formatCode>_(* #,##0_);_(* \(#,##0\);_(* "-"_);_(@_)</c:formatCode>
                <c:ptCount val="16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  <c:pt idx="14">
                  <c:v>25287.086125313093</c:v>
                </c:pt>
                <c:pt idx="15">
                  <c:v>26660.988978360547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Charts'!$B$38:$Q$38</c15:f>
                <c15:dlblRangeCache>
                  <c:ptCount val="16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  <c:pt idx="14">
                    <c:v>43%</c:v>
                  </c:pt>
                  <c:pt idx="15">
                    <c:v>41%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2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4340CC-DECD-4DBF-BF15-A1395A20E3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1018342-A076-4848-80EE-8D5FFC41AE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4B86B2-E7F5-444F-8D53-BE1447E868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8DED5B9-0844-48B6-BFC4-297F242409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EBC61B7-89C2-4207-B1C7-592A7B3EB6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927A70F-AA03-4BBE-8A26-F3ACAFC85C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654C93A-7204-4E64-9A9A-B8343DE34B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48F8807-EC27-4828-8C33-AA4E3FB8B0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04E24B2-FEF5-43D0-9132-70E78EF8A6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B055229-597F-4BCC-9C3A-CB1355D45C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6232657-3B5A-413A-AED8-131188CB07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9D9907E-558A-4B8E-8C46-8364FD35D7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5AB18C8-2ED5-4B25-8295-7515C643B8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0F438B8-EDE0-4287-B418-BE3B8D4D18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E0C4408-4C34-4965-AB8F-4C3D05B781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801D937-C919-476F-9EBA-62EB8B4BE55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Charts'!$B$30:$Q$30</c:f>
              <c:numCache>
                <c:formatCode>_(* #,##0_);_(* \(#,##0\);_(* "-"_);_(@_)</c:formatCode>
                <c:ptCount val="16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  <c:pt idx="14">
                  <c:v>14740.262780693285</c:v>
                </c:pt>
                <c:pt idx="15">
                  <c:v>17179.597249894538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Charts'!$B$39:$Q$39</c15:f>
                <c15:dlblRangeCache>
                  <c:ptCount val="16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  <c:pt idx="14">
                    <c:v>25%</c:v>
                  </c:pt>
                  <c:pt idx="15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333-4C69-A731-7BFCD9BEC35E}"/>
            </c:ext>
          </c:extLst>
        </c:ser>
        <c:ser>
          <c:idx val="3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71FDC35-BAB2-4358-8984-CFCFF992E7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F0FB266-C63F-474D-993C-05915472510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B8C10C-D02D-47B4-93B8-2A213E6D91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6033B51-54D2-4217-A530-57085B48E1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CE5A18-65B8-4527-8348-212EDBF5A9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98811A-DAFD-40B6-97DB-40DEF101E4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8477955-D289-4D08-B7E8-283F186322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17E5C43-E780-425A-A56D-47ED726056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68D54F-A800-4DFB-8D6C-80F9926F06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9369952-6F19-48B5-B3DB-0279283778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6B2C526-129C-4842-A4C1-064C33AA34E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9139F81-EA02-4C50-947A-EF06C5E283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1E94D77-2E21-4667-93F2-D57D3EC799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D8C9017-021D-4D62-9C8A-19888C61D5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9A4200A-75C6-47C3-986E-C29FA75198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A7331-F214-4130-BE69-ED66F8310A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915-44F9-9F33-45F9690019F2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Charts'!$B$31:$Q$31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  <c:pt idx="14">
                  <c:v>3530.3799191665721</c:v>
                </c:pt>
                <c:pt idx="15">
                  <c:v>4039.4305795541786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Charts'!$B$40:$Q$40</c15:f>
                <c15:dlblRangeCache>
                  <c:ptCount val="16"/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  <c:pt idx="14">
                    <c:v>6%</c:v>
                  </c:pt>
                  <c:pt idx="15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6333-4C69-A731-7BFCD9BEC35E}"/>
            </c:ext>
          </c:extLst>
        </c:ser>
        <c:ser>
          <c:idx val="0"/>
          <c:order val="3"/>
          <c:tx>
            <c:strRef>
              <c:f>'Data_Key Charts'!$A$32</c:f>
              <c:strCache>
                <c:ptCount val="1"/>
                <c:pt idx="0">
                  <c:v>Business loan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7452F8-F5CA-4E33-9500-DD162CB716A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15DFC1-AD51-42D6-99C6-20FC221198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ECA543-9D8E-4787-B66D-B1FC794E73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58F4C45-3478-48ED-B8B2-BCD97DD721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375B067-C6FE-4ABC-A442-9B88A59588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C30281F-7556-4DAB-9B8A-87E75AE7CB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466210-6572-4D5E-9296-833FE2E680D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500AFF3-8117-42E8-B638-6C55FE5D0B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6595D27-C34B-439C-87F9-7E446D0387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4A6A92-13EA-4294-B1A1-8EDC89BBAE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BBE34DD-3228-43C7-9F9C-0D354BCCDA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03BCB5-4C63-4A37-A2BC-59AAD6C0CE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76734FA-401F-4B91-AA13-9D856FDC43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3ED51A6-C05A-4B1D-A782-9A553E50F8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B09756F-D220-464D-9690-39B0796E5E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9CA21A4-9B75-4D0A-887B-50E9158CBE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Charts'!$B$32:$Q$32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135</c:v>
                </c:pt>
                <c:pt idx="2">
                  <c:v>264</c:v>
                </c:pt>
                <c:pt idx="3">
                  <c:v>419</c:v>
                </c:pt>
                <c:pt idx="4">
                  <c:v>797.55433955802073</c:v>
                </c:pt>
                <c:pt idx="5">
                  <c:v>1292.4025300690332</c:v>
                </c:pt>
                <c:pt idx="6">
                  <c:v>1624.8513027000001</c:v>
                </c:pt>
                <c:pt idx="7">
                  <c:v>2448</c:v>
                </c:pt>
                <c:pt idx="8">
                  <c:v>2929.6949648649488</c:v>
                </c:pt>
                <c:pt idx="9">
                  <c:v>3385.1710192215951</c:v>
                </c:pt>
                <c:pt idx="10">
                  <c:v>3839</c:v>
                </c:pt>
                <c:pt idx="11">
                  <c:v>4282.1818912032304</c:v>
                </c:pt>
                <c:pt idx="12">
                  <c:v>4748.9248831283321</c:v>
                </c:pt>
                <c:pt idx="13">
                  <c:v>5252.7712990947603</c:v>
                </c:pt>
                <c:pt idx="14">
                  <c:v>5271.0176665218833</c:v>
                </c:pt>
                <c:pt idx="15">
                  <c:v>5218.8786614300552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Charts'!$B$41:$Q$41</c15:f>
                <c15:dlblRangeCache>
                  <c:ptCount val="16"/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9%</c:v>
                  </c:pt>
                  <c:pt idx="12">
                    <c:v>9%</c:v>
                  </c:pt>
                  <c:pt idx="13">
                    <c:v>10%</c:v>
                  </c:pt>
                  <c:pt idx="14">
                    <c:v>9%</c:v>
                  </c:pt>
                  <c:pt idx="15">
                    <c:v>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6333-4C69-A731-7BFCD9BEC35E}"/>
            </c:ext>
          </c:extLst>
        </c:ser>
        <c:ser>
          <c:idx val="4"/>
          <c:order val="4"/>
          <c:tx>
            <c:strRef>
              <c:f>'Data_Key Charts'!$A$33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7490012-0508-4019-8019-3C53A74B68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0C3A77E-751A-4CA2-B852-EC2B3616F3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1645DC5-27A5-489D-B870-FC91F96BBF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F51E1CE-97B1-4E14-B449-231CF3AD6E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40B1521-4E45-4A0B-9C81-850F9F998C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4181A2-502C-4BF9-8F93-81314197E0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B75861F-4D10-49B1-A558-484F49DEB2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A07F09E-4217-4EE6-98A1-76A0455316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23E2090-2602-4252-B949-6056E3BFFE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6246965-A47E-4611-8BB6-C4C5D3E5C0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B374A24-B842-4C15-A03C-1D7E0B9894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448F244-C636-41B7-B0D3-C552618282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09ECA02-7F38-4D8F-A3BD-3C5F92688E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2A9F51D-68AC-4CAA-ABD3-DCAF55641A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355485D-4FDD-4938-9077-057165222B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7D2C99E-F367-4AD9-9134-FA0C443CA54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Charts'!$B$33:$Q$33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  <c:pt idx="14">
                  <c:v>4996.6543242252892</c:v>
                </c:pt>
                <c:pt idx="15">
                  <c:v>5974.8809012305701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Charts'!$B$42:$Q$42</c15:f>
                <c15:dlblRangeCache>
                  <c:ptCount val="16"/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8%</c:v>
                  </c:pt>
                  <c:pt idx="15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6333-4C69-A731-7BFCD9BEC35E}"/>
            </c:ext>
          </c:extLst>
        </c:ser>
        <c:ser>
          <c:idx val="5"/>
          <c:order val="5"/>
          <c:tx>
            <c:strRef>
              <c:f>'Data_Key Charts'!$A$34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E7809C-561E-4F70-8DA6-95739D42E5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C9E212-DE80-4783-9AF4-A04D25822A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86C8AA7-800B-4B44-BDE9-8C3C26B2E1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343D22-9652-41EF-B298-0AF5EA7935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3682DA9-CFFD-42A9-9DDF-4057AFD436A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C5A4872-DC95-4C9D-BB02-4B1EFD010A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268C3AE-2517-4FB5-8464-A6F7C6D68A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6E8F934-2A5B-4C1F-BB19-3615890138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9C2FD22-E1FA-477F-B654-F4E7F372F4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9D417CB-9733-4E9F-AA2B-0A5A45A26E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0FB4844-7647-4C0B-8872-CE81A17606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DE4F788-85C7-4210-8497-34D572E992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A696CF1-9E4C-476E-819F-728DFD84E4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29FF08D-B5AC-4CDB-8E32-B8A6E98D3B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4BDB69-BE67-42F5-A686-501B4AB33C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Charts'!$B$34:$Q$34</c:f>
              <c:numCache>
                <c:formatCode>_(* #,##0_);_(* \(#,##0\);_(* "-"_);_(@_)</c:formatCode>
                <c:ptCount val="16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  <c:pt idx="14">
                  <c:v>2851.8082583840001</c:v>
                </c:pt>
                <c:pt idx="15">
                  <c:v>2898.2790656241077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Charts'!$B$43:$Q$43</c15:f>
                <c15:dlblRangeCache>
                  <c:ptCount val="16"/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  <c:pt idx="14">
                    <c:v>5%</c:v>
                  </c:pt>
                  <c:pt idx="15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6333-4C69-A731-7BFCD9BEC35E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ACA758C-E3AD-4554-ACE5-52CBEEF464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5A71782-DD93-4622-93B6-FE38CB73C9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767C555-10E2-4B10-82A4-87CC77243C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BA239B-5482-451D-B82D-9137DABE8C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78FD01-C4EB-474F-9586-29824227BD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FBA5D9B-F84A-4575-9235-5572A1D5C94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45087D4-DEB1-4767-8EF6-A7A5ED2BBF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ED4AD68-7FB7-493C-98C0-5243D0E644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8B6D29B-8834-4BCF-A69F-DF72B99FFF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824F56D-2FEA-4D42-A0F0-36046EC5FB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11E9CC9-645B-4519-ABE3-40639CF1C6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29C12D8-7B9A-40B6-A64A-EEE0F2726C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D556920-8946-498A-BF7C-C2AAA73211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EA6FDD4-FAB6-4C9B-B599-1BC03ADFC55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0A07DA4-15E5-4232-94C1-34B5C10B4E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915-44F9-9F33-45F969001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Charts'!$B$35:$Q$35</c:f>
              <c:numCache>
                <c:formatCode>_(* #,##0_);_(* \(#,##0\);_(* "-"_);_(@_)</c:formatCode>
                <c:ptCount val="16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  <c:pt idx="14">
                  <c:v>2416.117120990175</c:v>
                </c:pt>
                <c:pt idx="15">
                  <c:v>2680.4281521000003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Charts'!$B$44:$Q$44</c15:f>
                <c15:dlblRangeCache>
                  <c:ptCount val="16"/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  <c:pt idx="14">
                    <c:v>4%</c:v>
                  </c:pt>
                  <c:pt idx="15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333-4C69-A731-7BFCD9BE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Charts'!$B$36:$Q$36</c:f>
              <c:numCache>
                <c:formatCode>_(* #,##0_);_(* \(#,##0\);_(* "-"_);_(@_)</c:formatCode>
                <c:ptCount val="16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33-4C69-A731-7BFCD9BEC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65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105979298572012"/>
          <c:y val="0.50387834572734747"/>
          <c:w val="9.216296155711276E-2"/>
          <c:h val="0.33071861578994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Charts'!$A$48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8E3A3B2-E1A4-4E3B-866F-71682562A6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FF58844-99C4-425A-B8C9-3E4B82695B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AEB719A-C526-4C48-8C33-7BC27A1596E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A5329E6-C50A-4590-A5A9-6C40F4EDCA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C96C8B0-2962-468B-BFC9-EEA8E6323CE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10AEF5-6885-40D5-A61D-A355310C34F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DC35614-31C6-4140-89FF-7D2738768E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24E4A2A-93C7-4980-99C9-833902C1B1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9D52AF4-0621-4058-8AFE-0902ED5BCE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384B37E-43B3-4FB2-AD9A-01CA1EE2DE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A6A-4A2B-8328-ADE753D53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Charts'!$B$48:$Q$48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  <c:pt idx="14">
                  <c:v>6744.1078936123185</c:v>
                </c:pt>
                <c:pt idx="15">
                  <c:v>6679.571024634125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Charts'!$B$52:$Q$52</c15:f>
                <c15:dlblRangeCache>
                  <c:ptCount val="16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  <c:pt idx="14">
                    <c:v>76%</c:v>
                  </c:pt>
                  <c:pt idx="15">
                    <c:v>73%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Charts'!$A$49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6F458A-2364-4502-8F30-3D1B29464E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208CF69-3142-45C7-85E4-ABDB3F0015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B2F2C54-2E73-4D21-BBCC-A64EA74FCA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2A08A86-4976-43E4-AC1F-EA29763B4E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6ACBDCC-22F2-490E-9491-1BBBBAC0AD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AD9753D-F9A8-4831-AA27-F46BCBFE61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82ACD81-5C4B-4DEC-BC9B-9D560BD36D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8301D96-62D9-41EC-BBBE-DCAC1D9632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F0CEA87-50D9-4C59-A5D7-6BF4F4FCAC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E726D6F-4CAC-457A-97A1-DE3F142BEE8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621C243-4686-4933-82D4-19683A5F96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A6A-4A2B-8328-ADE753D53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Charts'!$B$49:$Q$49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  <c:pt idx="14">
                  <c:v>2171.6999999999998</c:v>
                </c:pt>
                <c:pt idx="15">
                  <c:v>2437.27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Charts'!$B$53:$Q$53</c15:f>
                <c15:dlblRangeCache>
                  <c:ptCount val="16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  <c:pt idx="14">
                    <c:v>24%</c:v>
                  </c:pt>
                  <c:pt idx="15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Charts'!$A$50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Charts'!$B$50:$Q$50</c:f>
              <c:numCache>
                <c:formatCode>_(* #,##0_);_(* \(#,##0\);_(* "-"_);_(@_)</c:formatCode>
                <c:ptCount val="16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92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Charts'!$A$57</c:f>
              <c:strCache>
                <c:ptCount val="1"/>
                <c:pt idx="0">
                  <c:v>Legacy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Charts'!$B$57:$Q$57</c:f>
              <c:numCache>
                <c:formatCode>_(* #,##0_);_(* \(#,##0\);_(* "-"_);_(@_)</c:formatCode>
                <c:ptCount val="16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Charts'!$A$58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2.0381615420360429E-2"/>
                  <c:y val="3.43083260471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4-4830-B059-52D7921CD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Charts'!$B$1:$Q$1</c:f>
              <c:strCache>
                <c:ptCount val="16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</c:strCache>
            </c:strRef>
          </c:cat>
          <c:val>
            <c:numRef>
              <c:f>'Data_Key Charts'!$B$58:$Q$58</c:f>
              <c:numCache>
                <c:formatCode>0%</c:formatCode>
                <c:ptCount val="16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  <c:pt idx="14">
                  <c:v>0.1321178508669566</c:v>
                </c:pt>
                <c:pt idx="15">
                  <c:v>8.5759809692558947E-2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Net total income</a:t>
            </a:r>
          </a:p>
        </c:rich>
      </c:tx>
      <c:layout>
        <c:manualLayout>
          <c:xMode val="edge"/>
          <c:yMode val="edge"/>
          <c:x val="4.2508970954880914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33116731111468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Charts'!$A$89</c:f>
              <c:strCache>
                <c:ptCount val="1"/>
                <c:pt idx="0">
                  <c:v>Total income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Charts'!$B$89:$Q$89</c15:sqref>
                  </c15:fullRef>
                </c:ext>
              </c:extLst>
              <c:f>'Data_Key Charts'!$I$89:$Q$89</c:f>
              <c:numCache>
                <c:formatCode>General</c:formatCode>
                <c:ptCount val="9"/>
                <c:pt idx="0" formatCode="0.0%">
                  <c:v>0.15066960015419045</c:v>
                </c:pt>
                <c:pt idx="1" formatCode="0.0%">
                  <c:v>0.1477195557118694</c:v>
                </c:pt>
                <c:pt idx="2" formatCode="0.0%">
                  <c:v>0.14727007538592818</c:v>
                </c:pt>
                <c:pt idx="3" formatCode="0.0%">
                  <c:v>0.14821397466499575</c:v>
                </c:pt>
                <c:pt idx="4" formatCode="0.0%">
                  <c:v>0.15030013501928385</c:v>
                </c:pt>
                <c:pt idx="5" formatCode="0.0%">
                  <c:v>0.14105699581639072</c:v>
                </c:pt>
                <c:pt idx="6" formatCode="0.0%">
                  <c:v>0.14175829566093476</c:v>
                </c:pt>
                <c:pt idx="7" formatCode="0.0%">
                  <c:v>0.13887794502563183</c:v>
                </c:pt>
                <c:pt idx="8" formatCode="0.0%">
                  <c:v>0.14276015757326815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69-455A-8F55-EEAEDA5C0ABC}"/>
            </c:ext>
          </c:extLst>
        </c:ser>
        <c:ser>
          <c:idx val="2"/>
          <c:order val="1"/>
          <c:tx>
            <c:strRef>
              <c:f>'Data_Key Charts'!$A$90</c:f>
              <c:strCache>
                <c:ptCount val="1"/>
                <c:pt idx="0">
                  <c:v>Cost of funds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9899"/>
              </a:solidFill>
              <a:ln w="9525">
                <a:solidFill>
                  <a:srgbClr val="9A9899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371330152552315E-2"/>
                  <c:y val="4.3228228002454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5-4098-B7C7-080518500E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Charts'!$B$90:$Q$90</c15:sqref>
                  </c15:fullRef>
                </c:ext>
              </c:extLst>
              <c:f>'Data_Key Charts'!$I$90:$Q$90</c:f>
              <c:numCache>
                <c:formatCode>General</c:formatCode>
                <c:ptCount val="9"/>
                <c:pt idx="0" formatCode="0.0%">
                  <c:v>6.1720993954046087E-2</c:v>
                </c:pt>
                <c:pt idx="1" formatCode="0.0%">
                  <c:v>6.3484226802357102E-2</c:v>
                </c:pt>
                <c:pt idx="2" formatCode="0.0%">
                  <c:v>6.2677101527278914E-2</c:v>
                </c:pt>
                <c:pt idx="3" formatCode="0.0%">
                  <c:v>6.3218114185429497E-2</c:v>
                </c:pt>
                <c:pt idx="4" formatCode="0.0%">
                  <c:v>6.8245661167754795E-2</c:v>
                </c:pt>
                <c:pt idx="5" formatCode="0.0%">
                  <c:v>6.9617473464612917E-2</c:v>
                </c:pt>
                <c:pt idx="6" formatCode="0.0%">
                  <c:v>7.2321121187803802E-2</c:v>
                </c:pt>
                <c:pt idx="7" formatCode="0.0%">
                  <c:v>6.6317897095229755E-2</c:v>
                </c:pt>
                <c:pt idx="8" formatCode="0.0%">
                  <c:v>6.6761236084532369E-2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Charts'!$G$90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019D-4B27-BF19-C973ADDD0AE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D-4469-455A-8F55-EEAEDA5C0ABC}"/>
            </c:ext>
          </c:extLst>
        </c:ser>
        <c:ser>
          <c:idx val="3"/>
          <c:order val="2"/>
          <c:tx>
            <c:strRef>
              <c:f>'Data_Key Charts'!$A$91</c:f>
              <c:strCache>
                <c:ptCount val="1"/>
                <c:pt idx="0">
                  <c:v>Net total income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Charts'!$B$91:$Q$91</c15:sqref>
                  </c15:fullRef>
                </c:ext>
              </c:extLst>
              <c:f>'Data_Key Charts'!$I$91:$Q$91</c:f>
              <c:numCache>
                <c:formatCode>General</c:formatCode>
                <c:ptCount val="9"/>
                <c:pt idx="0" formatCode="0.0%">
                  <c:v>8.8948606200144359E-2</c:v>
                </c:pt>
                <c:pt idx="1" formatCode="0.0%">
                  <c:v>8.4235328909512297E-2</c:v>
                </c:pt>
                <c:pt idx="2" formatCode="0.0%">
                  <c:v>8.4592973858649265E-2</c:v>
                </c:pt>
                <c:pt idx="3" formatCode="0.0%">
                  <c:v>8.4995860479566254E-2</c:v>
                </c:pt>
                <c:pt idx="4" formatCode="0.0%">
                  <c:v>8.2054473851529058E-2</c:v>
                </c:pt>
                <c:pt idx="5" formatCode="0.0%">
                  <c:v>7.1439522351777807E-2</c:v>
                </c:pt>
                <c:pt idx="6" formatCode="0.0%">
                  <c:v>6.9437174473130955E-2</c:v>
                </c:pt>
                <c:pt idx="7" formatCode="0.0%">
                  <c:v>7.2560047930402077E-2</c:v>
                </c:pt>
                <c:pt idx="8" formatCode="0.0%">
                  <c:v>7.5998921488735785E-2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69-455A-8F55-EEAEDA5C0A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0.16000000000000003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4566947273883331"/>
          <c:y val="0.36588956457794974"/>
          <c:w val="0.14721071286715684"/>
          <c:h val="0.22580389932972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Opex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3288081108041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Charts'!$A$97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Charts'!$B$87:$Q$87</c15:sqref>
                  </c15:fullRef>
                </c:ext>
              </c:extLst>
              <c:f>'Data_Key Charts'!$I$87:$Q$87</c:f>
              <c:strCache>
                <c:ptCount val="9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  <c:pt idx="8">
                  <c:v>Q4FY25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Charts'!$B$97:$Q$97</c15:sqref>
                  </c15:fullRef>
                </c:ext>
              </c:extLst>
              <c:f>'Data_Key Charts'!$I$97:$Q$97</c:f>
              <c:numCache>
                <c:formatCode>General</c:formatCode>
                <c:ptCount val="9"/>
                <c:pt idx="0" formatCode="0.0%">
                  <c:v>5.6117228157412824E-2</c:v>
                </c:pt>
                <c:pt idx="1" formatCode="0.0%">
                  <c:v>5.6467385087295575E-2</c:v>
                </c:pt>
                <c:pt idx="2" formatCode="0.0%">
                  <c:v>5.2958439406164279E-2</c:v>
                </c:pt>
                <c:pt idx="3" formatCode="0.0%">
                  <c:v>4.9450531877999845E-2</c:v>
                </c:pt>
                <c:pt idx="4" formatCode="0.0%">
                  <c:v>4.8290170512772061E-2</c:v>
                </c:pt>
                <c:pt idx="5" formatCode="0.0%">
                  <c:v>4.4623715963367422E-2</c:v>
                </c:pt>
                <c:pt idx="6" formatCode="0.0%">
                  <c:v>4.3146781660659377E-2</c:v>
                </c:pt>
                <c:pt idx="7" formatCode="0.0%">
                  <c:v>4.2224673875873482E-2</c:v>
                </c:pt>
                <c:pt idx="8" formatCode="0.0%">
                  <c:v>4.0238777848369142E-2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C-439A-BE5B-F609717003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001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</xdr:colOff>
      <xdr:row>1</xdr:row>
      <xdr:rowOff>175210</xdr:rowOff>
    </xdr:from>
    <xdr:to>
      <xdr:col>14</xdr:col>
      <xdr:colOff>438996</xdr:colOff>
      <xdr:row>17</xdr:row>
      <xdr:rowOff>9571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0973C-5C91-478A-A244-80AB392E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</xdr:colOff>
      <xdr:row>17</xdr:row>
      <xdr:rowOff>167473</xdr:rowOff>
    </xdr:from>
    <xdr:to>
      <xdr:col>14</xdr:col>
      <xdr:colOff>431799</xdr:colOff>
      <xdr:row>32</xdr:row>
      <xdr:rowOff>157643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14</xdr:col>
      <xdr:colOff>440265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14</xdr:col>
      <xdr:colOff>428414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14</xdr:col>
      <xdr:colOff>439844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14</xdr:col>
      <xdr:colOff>450004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14</xdr:col>
      <xdr:colOff>445771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17359</xdr:colOff>
      <xdr:row>115</xdr:row>
      <xdr:rowOff>157115</xdr:rowOff>
    </xdr:from>
    <xdr:to>
      <xdr:col>14</xdr:col>
      <xdr:colOff>448734</xdr:colOff>
      <xdr:row>130</xdr:row>
      <xdr:rowOff>153611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58C9F92-7EDC-4744-8E10-E6C6D235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19050</xdr:colOff>
      <xdr:row>132</xdr:row>
      <xdr:rowOff>149695</xdr:rowOff>
    </xdr:from>
    <xdr:to>
      <xdr:col>14</xdr:col>
      <xdr:colOff>465666</xdr:colOff>
      <xdr:row>147</xdr:row>
      <xdr:rowOff>139217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41824BD-2599-4B55-B32F-EE30AEF9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148</xdr:row>
      <xdr:rowOff>149694</xdr:rowOff>
    </xdr:from>
    <xdr:to>
      <xdr:col>14</xdr:col>
      <xdr:colOff>465666</xdr:colOff>
      <xdr:row>163</xdr:row>
      <xdr:rowOff>140486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E88E0ED-BA9B-4C2C-80AF-AAFA73FC7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196</xdr:row>
      <xdr:rowOff>157118</xdr:rowOff>
    </xdr:from>
    <xdr:to>
      <xdr:col>14</xdr:col>
      <xdr:colOff>457200</xdr:colOff>
      <xdr:row>211</xdr:row>
      <xdr:rowOff>165046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44C0BCB-4524-4F77-A197-91579419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13567</xdr:colOff>
      <xdr:row>164</xdr:row>
      <xdr:rowOff>154796</xdr:rowOff>
    </xdr:from>
    <xdr:to>
      <xdr:col>14</xdr:col>
      <xdr:colOff>465666</xdr:colOff>
      <xdr:row>179</xdr:row>
      <xdr:rowOff>144432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2A40D2-E544-4D13-BD3D-650B3719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580352</xdr:colOff>
      <xdr:row>10</xdr:row>
      <xdr:rowOff>31735</xdr:rowOff>
    </xdr:from>
    <xdr:to>
      <xdr:col>13</xdr:col>
      <xdr:colOff>35560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7809055" y="1895546"/>
          <a:ext cx="5760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73598" cy="36269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139255</xdr:colOff>
      <xdr:row>54</xdr:row>
      <xdr:rowOff>175190</xdr:rowOff>
    </xdr:from>
    <xdr:to>
      <xdr:col>1</xdr:col>
      <xdr:colOff>412697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139255" y="10242057"/>
          <a:ext cx="866109" cy="622011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12</xdr:col>
      <xdr:colOff>590953</xdr:colOff>
      <xdr:row>9</xdr:row>
      <xdr:rowOff>134471</xdr:rowOff>
    </xdr:from>
    <xdr:to>
      <xdr:col>14</xdr:col>
      <xdr:colOff>431023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7798577" y="1766047"/>
          <a:ext cx="1041340" cy="1972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540327</xdr:colOff>
      <xdr:row>57</xdr:row>
      <xdr:rowOff>174355</xdr:rowOff>
    </xdr:from>
    <xdr:to>
      <xdr:col>12</xdr:col>
      <xdr:colOff>598207</xdr:colOff>
      <xdr:row>58</xdr:row>
      <xdr:rowOff>50576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7772400" y="10461355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550928</xdr:colOff>
      <xdr:row>57</xdr:row>
      <xdr:rowOff>96982</xdr:rowOff>
    </xdr:from>
    <xdr:to>
      <xdr:col>14</xdr:col>
      <xdr:colOff>390998</xdr:colOff>
      <xdr:row>58</xdr:row>
      <xdr:rowOff>114911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7783001" y="10383982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568037</xdr:colOff>
      <xdr:row>72</xdr:row>
      <xdr:rowOff>146646</xdr:rowOff>
    </xdr:from>
    <xdr:to>
      <xdr:col>13</xdr:col>
      <xdr:colOff>23245</xdr:colOff>
      <xdr:row>73</xdr:row>
      <xdr:rowOff>22867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7800110" y="13135282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578638</xdr:colOff>
      <xdr:row>72</xdr:row>
      <xdr:rowOff>69273</xdr:rowOff>
    </xdr:from>
    <xdr:to>
      <xdr:col>14</xdr:col>
      <xdr:colOff>418708</xdr:colOff>
      <xdr:row>73</xdr:row>
      <xdr:rowOff>87202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7810711" y="13057909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595086</xdr:colOff>
      <xdr:row>89</xdr:row>
      <xdr:rowOff>178973</xdr:rowOff>
    </xdr:from>
    <xdr:to>
      <xdr:col>13</xdr:col>
      <xdr:colOff>50294</xdr:colOff>
      <xdr:row>90</xdr:row>
      <xdr:rowOff>55194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7823200" y="16340630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3344</xdr:colOff>
      <xdr:row>89</xdr:row>
      <xdr:rowOff>101600</xdr:rowOff>
    </xdr:from>
    <xdr:to>
      <xdr:col>14</xdr:col>
      <xdr:colOff>445757</xdr:colOff>
      <xdr:row>90</xdr:row>
      <xdr:rowOff>119529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7833801" y="16263257"/>
          <a:ext cx="1044756" cy="1993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11</xdr:col>
      <xdr:colOff>522514</xdr:colOff>
      <xdr:row>198</xdr:row>
      <xdr:rowOff>60890</xdr:rowOff>
    </xdr:from>
    <xdr:to>
      <xdr:col>11</xdr:col>
      <xdr:colOff>580065</xdr:colOff>
      <xdr:row>198</xdr:row>
      <xdr:rowOff>118540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FE9353B-1D88-4FAC-BE6C-C1C499097D9E}"/>
            </a:ext>
          </a:extLst>
        </xdr:cNvPr>
        <xdr:cNvSpPr>
          <a:spLocks/>
        </xdr:cNvSpPr>
      </xdr:nvSpPr>
      <xdr:spPr>
        <a:xfrm>
          <a:off x="7178808" y="38272949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533115</xdr:colOff>
      <xdr:row>197</xdr:row>
      <xdr:rowOff>164946</xdr:rowOff>
    </xdr:from>
    <xdr:to>
      <xdr:col>13</xdr:col>
      <xdr:colOff>373185</xdr:colOff>
      <xdr:row>199</xdr:row>
      <xdr:rowOff>3581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D5A129E4-587D-409C-AFE4-7D58E1F7A2F2}"/>
            </a:ext>
          </a:extLst>
        </xdr:cNvPr>
        <xdr:cNvSpPr/>
      </xdr:nvSpPr>
      <xdr:spPr>
        <a:xfrm>
          <a:off x="7189409" y="38197711"/>
          <a:ext cx="1050305" cy="1972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PBT</a:t>
          </a:r>
        </a:p>
      </xdr:txBody>
    </xdr:sp>
    <xdr:clientData/>
  </xdr:twoCellAnchor>
  <xdr:twoCellAnchor>
    <xdr:from>
      <xdr:col>0</xdr:col>
      <xdr:colOff>22412</xdr:colOff>
      <xdr:row>180</xdr:row>
      <xdr:rowOff>156882</xdr:rowOff>
    </xdr:from>
    <xdr:to>
      <xdr:col>14</xdr:col>
      <xdr:colOff>469028</xdr:colOff>
      <xdr:row>195</xdr:row>
      <xdr:rowOff>147675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E38A4F23-8091-4095-8C18-16997766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105785"/>
          <a:ext cx="866109" cy="615040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0.04327</cdr:x>
      <cdr:y>0.03853</cdr:y>
    </cdr:from>
    <cdr:to>
      <cdr:x>0.07127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378003" y="108774"/>
          <a:ext cx="244605" cy="908528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0010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75139</xdr:rowOff>
    </xdr:from>
    <xdr:to>
      <xdr:col>17</xdr:col>
      <xdr:colOff>8467</xdr:colOff>
      <xdr:row>19</xdr:row>
      <xdr:rowOff>76201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11333" y="4020606"/>
          <a:ext cx="6231467" cy="212728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90" zoomScaleNormal="90" workbookViewId="0"/>
  </sheetViews>
  <sheetFormatPr defaultColWidth="8.6640625" defaultRowHeight="14.4"/>
  <cols>
    <col min="1" max="1" width="34.6640625" style="15" customWidth="1"/>
    <col min="2" max="2" width="68.6640625" style="12" customWidth="1"/>
    <col min="3" max="10" width="8.6640625" style="12"/>
    <col min="11" max="11" width="12.21875" style="12" bestFit="1" customWidth="1"/>
    <col min="12" max="16384" width="8.6640625" style="12"/>
  </cols>
  <sheetData>
    <row r="1" spans="1:17" s="9" customFormat="1" ht="22.5" customHeight="1">
      <c r="A1" s="4"/>
      <c r="B1" s="165" t="s">
        <v>126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65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43" t="s">
        <v>235</v>
      </c>
      <c r="B3" s="143" t="s">
        <v>195</v>
      </c>
    </row>
    <row r="4" spans="1:17" ht="7.2" customHeight="1">
      <c r="A4" s="11"/>
    </row>
    <row r="5" spans="1:17" ht="40.200000000000003" customHeight="1">
      <c r="A5" s="8" t="s">
        <v>186</v>
      </c>
      <c r="B5" s="13" t="s">
        <v>187</v>
      </c>
      <c r="E5" s="9"/>
      <c r="F5" s="14"/>
    </row>
    <row r="6" spans="1:17" ht="7.2" customHeight="1"/>
    <row r="7" spans="1:17" ht="40.200000000000003" customHeight="1">
      <c r="A7" s="8" t="s">
        <v>130</v>
      </c>
      <c r="B7" s="13" t="s">
        <v>123</v>
      </c>
      <c r="F7" s="14"/>
    </row>
    <row r="8" spans="1:17" ht="7.2" customHeight="1">
      <c r="A8" s="11"/>
    </row>
    <row r="9" spans="1:17" ht="40.200000000000003" customHeight="1">
      <c r="A9" s="8" t="s">
        <v>131</v>
      </c>
      <c r="B9" s="13" t="s">
        <v>124</v>
      </c>
      <c r="L9" s="97"/>
    </row>
    <row r="10" spans="1:17" ht="7.2" customHeight="1">
      <c r="A10" s="11"/>
    </row>
    <row r="11" spans="1:17" ht="40.200000000000003" customHeight="1">
      <c r="A11" s="8" t="s">
        <v>108</v>
      </c>
      <c r="B11" s="13" t="s">
        <v>125</v>
      </c>
    </row>
    <row r="12" spans="1:17" ht="7.2" customHeight="1">
      <c r="A12" s="16"/>
    </row>
    <row r="13" spans="1:17" ht="40.200000000000003" customHeight="1">
      <c r="A13" s="8" t="s">
        <v>255</v>
      </c>
      <c r="B13" s="13" t="s">
        <v>225</v>
      </c>
    </row>
    <row r="14" spans="1:17" ht="7.2" customHeight="1">
      <c r="A14" s="11"/>
    </row>
    <row r="15" spans="1:17" ht="40.200000000000003" customHeight="1">
      <c r="A15" s="8" t="s">
        <v>121</v>
      </c>
      <c r="B15" s="13" t="s">
        <v>129</v>
      </c>
    </row>
    <row r="16" spans="1:17" ht="7.2" customHeight="1">
      <c r="A16" s="11"/>
    </row>
    <row r="17" spans="1:2" ht="40.200000000000003" customHeight="1">
      <c r="A17" s="8" t="s">
        <v>69</v>
      </c>
      <c r="B17" s="13" t="s">
        <v>122</v>
      </c>
    </row>
    <row r="18" spans="1:2" ht="7.2" customHeight="1">
      <c r="A18" s="11"/>
    </row>
    <row r="19" spans="1:2" ht="40.200000000000003" customHeight="1">
      <c r="A19" s="8" t="s">
        <v>109</v>
      </c>
      <c r="B19" s="13" t="s">
        <v>132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Pro forma business wise P&amp;L'!A1" display="Pro forma business-wise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3"/>
  <sheetViews>
    <sheetView zoomScale="90" zoomScaleNormal="90" workbookViewId="0"/>
  </sheetViews>
  <sheetFormatPr defaultColWidth="8.88671875" defaultRowHeight="14.4"/>
  <cols>
    <col min="1" max="1" width="28.109375" style="2" bestFit="1" customWidth="1"/>
    <col min="2" max="2" width="137" style="2" customWidth="1"/>
    <col min="3" max="16384" width="8.88671875" style="2"/>
  </cols>
  <sheetData>
    <row r="1" spans="1:2">
      <c r="A1" s="113" t="s">
        <v>194</v>
      </c>
      <c r="B1" s="114" t="s">
        <v>195</v>
      </c>
    </row>
    <row r="2" spans="1:2">
      <c r="A2" s="115" t="s">
        <v>12</v>
      </c>
      <c r="B2" s="116" t="s">
        <v>196</v>
      </c>
    </row>
    <row r="3" spans="1:2">
      <c r="A3" s="117" t="s">
        <v>197</v>
      </c>
      <c r="B3" s="118" t="s">
        <v>198</v>
      </c>
    </row>
    <row r="4" spans="1:2">
      <c r="A4" s="115" t="s">
        <v>162</v>
      </c>
      <c r="B4" s="116" t="s">
        <v>199</v>
      </c>
    </row>
    <row r="5" spans="1:2">
      <c r="A5" s="115" t="s">
        <v>200</v>
      </c>
      <c r="B5" s="116" t="s">
        <v>201</v>
      </c>
    </row>
    <row r="6" spans="1:2">
      <c r="A6" s="115" t="s">
        <v>164</v>
      </c>
      <c r="B6" s="116" t="s">
        <v>202</v>
      </c>
    </row>
    <row r="7" spans="1:2">
      <c r="A7" s="115" t="s">
        <v>203</v>
      </c>
      <c r="B7" s="116" t="s">
        <v>204</v>
      </c>
    </row>
    <row r="8" spans="1:2">
      <c r="A8" s="117" t="s">
        <v>205</v>
      </c>
      <c r="B8" s="118" t="s">
        <v>206</v>
      </c>
    </row>
    <row r="9" spans="1:2">
      <c r="A9" s="117" t="s">
        <v>264</v>
      </c>
      <c r="B9" s="118" t="s">
        <v>266</v>
      </c>
    </row>
    <row r="10" spans="1:2">
      <c r="A10" s="115" t="s">
        <v>55</v>
      </c>
      <c r="B10" s="116" t="s">
        <v>207</v>
      </c>
    </row>
    <row r="11" spans="1:2">
      <c r="A11" s="115" t="s">
        <v>110</v>
      </c>
      <c r="B11" s="116" t="s">
        <v>208</v>
      </c>
    </row>
    <row r="12" spans="1:2">
      <c r="A12" s="163" t="s">
        <v>100</v>
      </c>
      <c r="B12" s="164" t="s">
        <v>265</v>
      </c>
    </row>
    <row r="13" spans="1:2">
      <c r="A13" s="119" t="s">
        <v>209</v>
      </c>
      <c r="B13" s="120" t="s">
        <v>210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Q115"/>
  <sheetViews>
    <sheetView zoomScale="90" zoomScaleNormal="90" workbookViewId="0">
      <pane ySplit="1" topLeftCell="A54" activePane="bottomLeft" state="frozen"/>
      <selection pane="bottomLeft" activeCell="Q80" sqref="Q80"/>
    </sheetView>
  </sheetViews>
  <sheetFormatPr defaultColWidth="8.6640625" defaultRowHeight="14.4"/>
  <cols>
    <col min="1" max="1" width="25.6640625" style="2" bestFit="1" customWidth="1"/>
    <col min="2" max="16384" width="8.6640625" style="2"/>
  </cols>
  <sheetData>
    <row r="1" spans="1:17" s="95" customFormat="1">
      <c r="A1" s="94" t="s">
        <v>147</v>
      </c>
      <c r="B1" s="18" t="s">
        <v>133</v>
      </c>
      <c r="C1" s="18" t="s">
        <v>134</v>
      </c>
      <c r="D1" s="18" t="s">
        <v>135</v>
      </c>
      <c r="E1" s="18" t="s">
        <v>136</v>
      </c>
      <c r="F1" s="18" t="s">
        <v>137</v>
      </c>
      <c r="G1" s="18" t="s">
        <v>138</v>
      </c>
      <c r="H1" s="18" t="s">
        <v>139</v>
      </c>
      <c r="I1" s="18" t="s">
        <v>140</v>
      </c>
      <c r="J1" s="18" t="s">
        <v>141</v>
      </c>
      <c r="K1" s="18" t="s">
        <v>142</v>
      </c>
      <c r="L1" s="18" t="s">
        <v>143</v>
      </c>
      <c r="M1" s="18" t="s">
        <v>144</v>
      </c>
      <c r="N1" s="18" t="s">
        <v>145</v>
      </c>
      <c r="O1" s="18" t="s">
        <v>146</v>
      </c>
      <c r="P1" s="18" t="s">
        <v>251</v>
      </c>
      <c r="Q1" s="18" t="s">
        <v>260</v>
      </c>
    </row>
    <row r="2" spans="1:17" s="95" customFormat="1">
      <c r="A2" s="6" t="s">
        <v>155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</row>
    <row r="3" spans="1:17">
      <c r="A3" s="2" t="s">
        <v>173</v>
      </c>
      <c r="B3" s="96">
        <f>AUM!B14+AUM!B31</f>
        <v>4326.7090496981946</v>
      </c>
      <c r="C3" s="96">
        <f>AUM!C14+AUM!C31</f>
        <v>22627.618111934535</v>
      </c>
      <c r="D3" s="96">
        <f>AUM!D14+AUM!D31</f>
        <v>21743</v>
      </c>
      <c r="E3" s="96">
        <f>AUM!E14+AUM!E31</f>
        <v>22010</v>
      </c>
      <c r="F3" s="96">
        <f>AUM!F14+AUM!F31</f>
        <v>22935.895325160491</v>
      </c>
      <c r="G3" s="96">
        <f>AUM!G14+AUM!G31</f>
        <v>25701.495847782531</v>
      </c>
      <c r="H3" s="96">
        <f>AUM!H14+AUM!H31</f>
        <v>29766.093446985531</v>
      </c>
      <c r="I3" s="96">
        <f>AUM!I14+AUM!I31</f>
        <v>34936.366998024998</v>
      </c>
      <c r="J3" s="96">
        <f>AUM!J14+AUM!J31</f>
        <v>38264</v>
      </c>
      <c r="K3" s="96">
        <f>AUM!K14+AUM!K31</f>
        <v>43105</v>
      </c>
      <c r="L3" s="96">
        <f>AUM!L14+AUM!L31</f>
        <v>48589.812255466088</v>
      </c>
      <c r="M3" s="96">
        <f>AUM!M14+AUM!M31</f>
        <v>54273.13507699516</v>
      </c>
      <c r="N3" s="96">
        <f>AUM!N14+AUM!N31</f>
        <v>57600.772992243583</v>
      </c>
      <c r="O3" s="96">
        <f>AUM!O14+AUM!O31</f>
        <v>62625.816304770422</v>
      </c>
      <c r="P3" s="96">
        <f>AUM!P14+AUM!P31</f>
        <v>68009.13408890662</v>
      </c>
      <c r="Q3" s="96">
        <f>AUM!Q14+AUM!Q31</f>
        <v>73769.324612828117</v>
      </c>
    </row>
    <row r="4" spans="1:17">
      <c r="A4" s="2" t="s">
        <v>237</v>
      </c>
      <c r="B4" s="96">
        <f>AUM!B49</f>
        <v>42854.135113062519</v>
      </c>
      <c r="C4" s="96">
        <f>AUM!C49</f>
        <v>44357.832308077464</v>
      </c>
      <c r="D4" s="96">
        <f>AUM!D49</f>
        <v>44049.408231938643</v>
      </c>
      <c r="E4" s="96">
        <f>AUM!E49</f>
        <v>43175</v>
      </c>
      <c r="F4" s="96">
        <f>AUM!F49</f>
        <v>41655</v>
      </c>
      <c r="G4" s="96">
        <f>AUM!G49</f>
        <v>38079</v>
      </c>
      <c r="H4" s="96">
        <f>AUM!H49</f>
        <v>35101</v>
      </c>
      <c r="I4" s="96">
        <f>AUM!I49</f>
        <v>29053.000000000004</v>
      </c>
      <c r="J4" s="96">
        <f>AUM!J49</f>
        <v>26001.999999999996</v>
      </c>
      <c r="K4" s="96">
        <f>AUM!K49</f>
        <v>23827.000000000004</v>
      </c>
      <c r="L4" s="96">
        <f>AUM!L49</f>
        <v>18692.993904399129</v>
      </c>
      <c r="M4" s="96">
        <f>AUM!M49</f>
        <v>14572</v>
      </c>
      <c r="N4" s="96">
        <f>AUM!N49</f>
        <v>12974.757788127543</v>
      </c>
      <c r="O4" s="96">
        <f>AUM!O49</f>
        <v>12066.02536817637</v>
      </c>
      <c r="P4" s="96">
        <f>AUM!P49</f>
        <v>10353.042338898958</v>
      </c>
      <c r="Q4" s="96">
        <f>AUM!Q49</f>
        <v>6919.891847915027</v>
      </c>
    </row>
    <row r="5" spans="1:17">
      <c r="A5" s="2" t="s">
        <v>174</v>
      </c>
      <c r="B5" s="96">
        <f>AUM!B51</f>
        <v>47180.84416276071</v>
      </c>
      <c r="C5" s="96">
        <f>AUM!C51</f>
        <v>66985.450420011999</v>
      </c>
      <c r="D5" s="96">
        <f>AUM!D51</f>
        <v>65792.408231938636</v>
      </c>
      <c r="E5" s="96">
        <f>AUM!E51</f>
        <v>65185</v>
      </c>
      <c r="F5" s="96">
        <f>AUM!F51</f>
        <v>64590.895325160491</v>
      </c>
      <c r="G5" s="96">
        <f>AUM!G51</f>
        <v>63780.495847782528</v>
      </c>
      <c r="H5" s="96">
        <f>AUM!H51</f>
        <v>64867.093446985527</v>
      </c>
      <c r="I5" s="96">
        <f>AUM!I51</f>
        <v>63989.366998024998</v>
      </c>
      <c r="J5" s="96">
        <f>AUM!J51</f>
        <v>64266</v>
      </c>
      <c r="K5" s="96">
        <f>AUM!K51</f>
        <v>66932</v>
      </c>
      <c r="L5" s="96">
        <f>AUM!L51</f>
        <v>67282.806159865213</v>
      </c>
      <c r="M5" s="96">
        <f>AUM!M51</f>
        <v>68845.135076995153</v>
      </c>
      <c r="N5" s="96">
        <f>AUM!N51</f>
        <v>70575.530780371133</v>
      </c>
      <c r="O5" s="96">
        <f>AUM!O51</f>
        <v>74691.841672946786</v>
      </c>
      <c r="P5" s="96">
        <f>AUM!P51</f>
        <v>78362.176427805578</v>
      </c>
      <c r="Q5" s="96">
        <f>AUM!Q51</f>
        <v>80689.216460743148</v>
      </c>
    </row>
    <row r="6" spans="1:17">
      <c r="A6" s="97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</row>
    <row r="7" spans="1:17">
      <c r="A7" s="2" t="s">
        <v>148</v>
      </c>
      <c r="B7" s="98">
        <f t="shared" ref="B7:O7" si="0">B3/B5</f>
        <v>9.170478244883154E-2</v>
      </c>
      <c r="C7" s="98">
        <f t="shared" si="0"/>
        <v>0.33779899918646367</v>
      </c>
      <c r="D7" s="98">
        <f t="shared" si="0"/>
        <v>0.33047885894903228</v>
      </c>
      <c r="E7" s="98">
        <f t="shared" si="0"/>
        <v>0.33765436833627366</v>
      </c>
      <c r="F7" s="98">
        <f t="shared" si="0"/>
        <v>0.35509486607512825</v>
      </c>
      <c r="G7" s="98">
        <f t="shared" si="0"/>
        <v>0.4029679529165357</v>
      </c>
      <c r="H7" s="98">
        <f t="shared" si="0"/>
        <v>0.45887817482238069</v>
      </c>
      <c r="I7" s="98">
        <f t="shared" si="0"/>
        <v>0.54597144239766104</v>
      </c>
      <c r="J7" s="98">
        <f t="shared" si="0"/>
        <v>0.59540036722372636</v>
      </c>
      <c r="K7" s="98">
        <f t="shared" si="0"/>
        <v>0.64401183290503794</v>
      </c>
      <c r="L7" s="98">
        <f t="shared" si="0"/>
        <v>0.72217279612291707</v>
      </c>
      <c r="M7" s="98">
        <f t="shared" si="0"/>
        <v>0.78833653265836534</v>
      </c>
      <c r="N7" s="98">
        <f t="shared" si="0"/>
        <v>0.81615784331109609</v>
      </c>
      <c r="O7" s="98">
        <f t="shared" si="0"/>
        <v>0.83845591301644595</v>
      </c>
      <c r="P7" s="98">
        <f t="shared" ref="P7:Q7" si="1">P3/P5</f>
        <v>0.8678821491330434</v>
      </c>
      <c r="Q7" s="98">
        <f t="shared" si="1"/>
        <v>0.91424019030744097</v>
      </c>
    </row>
    <row r="8" spans="1:17">
      <c r="A8" s="2" t="s">
        <v>149</v>
      </c>
      <c r="B8" s="98">
        <f t="shared" ref="B8:O8" si="2">B4/B5</f>
        <v>0.90829521755116849</v>
      </c>
      <c r="C8" s="98">
        <f t="shared" si="2"/>
        <v>0.66220100081353639</v>
      </c>
      <c r="D8" s="98">
        <f t="shared" si="2"/>
        <v>0.66952114105096783</v>
      </c>
      <c r="E8" s="98">
        <f t="shared" si="2"/>
        <v>0.66234563166372629</v>
      </c>
      <c r="F8" s="98">
        <f t="shared" si="2"/>
        <v>0.64490513392487181</v>
      </c>
      <c r="G8" s="98">
        <f t="shared" si="2"/>
        <v>0.59703204708346436</v>
      </c>
      <c r="H8" s="98">
        <f t="shared" si="2"/>
        <v>0.54112182517761931</v>
      </c>
      <c r="I8" s="98">
        <f t="shared" si="2"/>
        <v>0.45402855760233901</v>
      </c>
      <c r="J8" s="98">
        <f t="shared" si="2"/>
        <v>0.40459963277627353</v>
      </c>
      <c r="K8" s="98">
        <f t="shared" si="2"/>
        <v>0.35598816709496212</v>
      </c>
      <c r="L8" s="98">
        <f t="shared" si="2"/>
        <v>0.27782720387708298</v>
      </c>
      <c r="M8" s="98">
        <f t="shared" si="2"/>
        <v>0.2116634673416348</v>
      </c>
      <c r="N8" s="98">
        <f t="shared" si="2"/>
        <v>0.1838421566889038</v>
      </c>
      <c r="O8" s="98">
        <f t="shared" si="2"/>
        <v>0.16154408698355413</v>
      </c>
      <c r="P8" s="98">
        <f t="shared" ref="P8:Q8" si="3">P4/P5</f>
        <v>0.1321178508669566</v>
      </c>
      <c r="Q8" s="98">
        <f t="shared" si="3"/>
        <v>8.5759809692558947E-2</v>
      </c>
    </row>
    <row r="9" spans="1:17">
      <c r="A9" s="2" t="s">
        <v>54</v>
      </c>
      <c r="B9" s="99">
        <f>SUM(B7:B8)</f>
        <v>1</v>
      </c>
      <c r="C9" s="99">
        <f t="shared" ref="C9:O9" si="4">SUM(C7:C8)</f>
        <v>1</v>
      </c>
      <c r="D9" s="99">
        <f t="shared" si="4"/>
        <v>1</v>
      </c>
      <c r="E9" s="99">
        <f t="shared" si="4"/>
        <v>1</v>
      </c>
      <c r="F9" s="99">
        <f t="shared" si="4"/>
        <v>1</v>
      </c>
      <c r="G9" s="99">
        <f t="shared" si="4"/>
        <v>1</v>
      </c>
      <c r="H9" s="99">
        <f t="shared" si="4"/>
        <v>1</v>
      </c>
      <c r="I9" s="99">
        <f t="shared" si="4"/>
        <v>1</v>
      </c>
      <c r="J9" s="99">
        <f t="shared" si="4"/>
        <v>0.99999999999999989</v>
      </c>
      <c r="K9" s="99">
        <f t="shared" si="4"/>
        <v>1</v>
      </c>
      <c r="L9" s="99">
        <f t="shared" si="4"/>
        <v>1</v>
      </c>
      <c r="M9" s="99">
        <f t="shared" si="4"/>
        <v>1.0000000000000002</v>
      </c>
      <c r="N9" s="99">
        <f t="shared" si="4"/>
        <v>0.99999999999999989</v>
      </c>
      <c r="O9" s="99">
        <f t="shared" si="4"/>
        <v>1</v>
      </c>
      <c r="P9" s="99">
        <f t="shared" ref="P9:Q9" si="5">SUM(P7:P8)</f>
        <v>1</v>
      </c>
      <c r="Q9" s="99">
        <f t="shared" si="5"/>
        <v>0.99999999999999989</v>
      </c>
    </row>
    <row r="10" spans="1:17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17">
      <c r="A11" s="6" t="s">
        <v>170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</row>
    <row r="12" spans="1:17">
      <c r="A12" s="2" t="s">
        <v>175</v>
      </c>
      <c r="B12" s="99"/>
      <c r="C12" s="99"/>
      <c r="D12" s="99"/>
      <c r="E12" s="99"/>
      <c r="F12" s="99">
        <f t="shared" ref="F12:Q12" si="6">F5/B5-1</f>
        <v>0.3690067753417039</v>
      </c>
      <c r="G12" s="99">
        <f t="shared" si="6"/>
        <v>-4.7845532905037902E-2</v>
      </c>
      <c r="H12" s="99">
        <f t="shared" si="6"/>
        <v>-1.4064157397781885E-2</v>
      </c>
      <c r="I12" s="99">
        <f t="shared" si="6"/>
        <v>-1.8342149297767896E-2</v>
      </c>
      <c r="J12" s="99">
        <f t="shared" si="6"/>
        <v>-5.0300483299530185E-3</v>
      </c>
      <c r="K12" s="99">
        <f t="shared" si="6"/>
        <v>4.9411722350650944E-2</v>
      </c>
      <c r="L12" s="99">
        <f t="shared" si="6"/>
        <v>3.7240958157837012E-2</v>
      </c>
      <c r="M12" s="99">
        <f t="shared" si="6"/>
        <v>7.5883983648721287E-2</v>
      </c>
      <c r="N12" s="99">
        <f t="shared" si="6"/>
        <v>9.8178364615366442E-2</v>
      </c>
      <c r="O12" s="99">
        <f t="shared" si="6"/>
        <v>0.11593619902209396</v>
      </c>
      <c r="P12" s="99">
        <f t="shared" si="6"/>
        <v>0.16466867094715965</v>
      </c>
      <c r="Q12" s="99">
        <f t="shared" si="6"/>
        <v>0.17203948209995934</v>
      </c>
    </row>
    <row r="13" spans="1:17">
      <c r="A13" s="2" t="s">
        <v>173</v>
      </c>
      <c r="B13" s="99"/>
      <c r="C13" s="99"/>
      <c r="D13" s="99"/>
      <c r="E13" s="99"/>
      <c r="F13" s="99">
        <f t="shared" ref="F13:N13" si="7">F3/B3-1</f>
        <v>4.3010024620815122</v>
      </c>
      <c r="G13" s="99">
        <f t="shared" si="7"/>
        <v>0.13584627956164486</v>
      </c>
      <c r="H13" s="99">
        <f t="shared" si="7"/>
        <v>0.36899661716347931</v>
      </c>
      <c r="I13" s="99">
        <f t="shared" si="7"/>
        <v>0.58729518391753732</v>
      </c>
      <c r="J13" s="99">
        <f t="shared" si="7"/>
        <v>0.66830199813585223</v>
      </c>
      <c r="K13" s="99">
        <f t="shared" si="7"/>
        <v>0.67713973751916878</v>
      </c>
      <c r="L13" s="99">
        <f t="shared" si="7"/>
        <v>0.63238794979953505</v>
      </c>
      <c r="M13" s="99">
        <f t="shared" si="7"/>
        <v>0.55348537184943414</v>
      </c>
      <c r="N13" s="99">
        <f t="shared" si="7"/>
        <v>0.50535158353135023</v>
      </c>
      <c r="O13" s="99">
        <f>O3/K3-1</f>
        <v>0.45286663507181113</v>
      </c>
      <c r="P13" s="99">
        <f>P3/L3-1</f>
        <v>0.39965830144272618</v>
      </c>
      <c r="Q13" s="99">
        <f>Q3/M3-1</f>
        <v>0.35922357365526203</v>
      </c>
    </row>
    <row r="14" spans="1:17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17">
      <c r="A15" s="6" t="s">
        <v>171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</row>
    <row r="16" spans="1:17">
      <c r="A16" s="2" t="s">
        <v>167</v>
      </c>
      <c r="B16" s="99"/>
      <c r="C16" s="99"/>
      <c r="D16" s="99"/>
      <c r="E16" s="99"/>
      <c r="F16" s="105">
        <v>5.874584893319032E-2</v>
      </c>
      <c r="G16" s="105">
        <v>5.0389967901702262E-2</v>
      </c>
      <c r="H16" s="105">
        <v>6.4868430047634928E-2</v>
      </c>
      <c r="I16" s="105">
        <v>5.7734431844773781E-2</v>
      </c>
      <c r="J16" s="105">
        <v>4.2867533064828267E-2</v>
      </c>
      <c r="K16" s="105">
        <v>4.6607583283140033E-2</v>
      </c>
      <c r="L16" s="105">
        <v>4.9465137869833573E-2</v>
      </c>
      <c r="M16" s="105">
        <v>4.5936225591382676E-2</v>
      </c>
      <c r="N16" s="105">
        <v>4.8517658496579519E-2</v>
      </c>
      <c r="O16" s="105">
        <v>5.1148072740922881E-2</v>
      </c>
      <c r="P16" s="105">
        <v>5.7454960525206419E-2</v>
      </c>
      <c r="Q16" s="105">
        <v>5.8000000000000003E-2</v>
      </c>
    </row>
    <row r="17" spans="1:17">
      <c r="A17" s="2" t="s">
        <v>168</v>
      </c>
      <c r="F17" s="105">
        <v>7.5631556728154997E-2</v>
      </c>
      <c r="G17" s="105">
        <v>7.6166902486496005E-2</v>
      </c>
      <c r="H17" s="105">
        <v>7.9397109416218914E-2</v>
      </c>
      <c r="I17" s="105">
        <v>7.8211796343267179E-2</v>
      </c>
      <c r="J17" s="105">
        <v>7.3332137786072699E-2</v>
      </c>
      <c r="K17" s="105">
        <v>7.1861881198650737E-2</v>
      </c>
      <c r="L17" s="105">
        <v>7.1551756902329094E-2</v>
      </c>
      <c r="M17" s="105">
        <v>6.6655437336988532E-2</v>
      </c>
      <c r="N17" s="105">
        <v>6.4385049827438479E-2</v>
      </c>
      <c r="O17" s="105">
        <v>6.2245472835593854E-2</v>
      </c>
      <c r="P17" s="105">
        <v>6.5542845558679314E-2</v>
      </c>
      <c r="Q17" s="105">
        <v>6.4950932942231129E-2</v>
      </c>
    </row>
    <row r="18" spans="1:17">
      <c r="A18" s="97"/>
    </row>
    <row r="19" spans="1:17">
      <c r="A19" s="6" t="s">
        <v>172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1:17">
      <c r="A20" s="2" t="s">
        <v>110</v>
      </c>
      <c r="B20" s="104">
        <f>B36</f>
        <v>4326.7090496981946</v>
      </c>
      <c r="C20" s="104">
        <f t="shared" ref="C20:O20" si="8">C36</f>
        <v>22577.61317766038</v>
      </c>
      <c r="D20" s="104">
        <f t="shared" si="8"/>
        <v>21544</v>
      </c>
      <c r="E20" s="104">
        <f t="shared" si="8"/>
        <v>21552</v>
      </c>
      <c r="F20" s="104">
        <f t="shared" si="8"/>
        <v>22266.895325160491</v>
      </c>
      <c r="G20" s="104">
        <f t="shared" si="8"/>
        <v>24872.495847782531</v>
      </c>
      <c r="H20" s="104">
        <f t="shared" si="8"/>
        <v>27895.793446985532</v>
      </c>
      <c r="I20" s="104">
        <f t="shared" si="8"/>
        <v>32144.366998024994</v>
      </c>
      <c r="J20" s="104">
        <f t="shared" si="8"/>
        <v>35219</v>
      </c>
      <c r="K20" s="104">
        <f t="shared" si="8"/>
        <v>38604</v>
      </c>
      <c r="L20" s="104">
        <f t="shared" si="8"/>
        <v>43028</v>
      </c>
      <c r="M20" s="104">
        <f t="shared" si="8"/>
        <v>47926.552742302811</v>
      </c>
      <c r="N20" s="104">
        <f t="shared" si="8"/>
        <v>50530.040465016355</v>
      </c>
      <c r="O20" s="104">
        <f t="shared" si="8"/>
        <v>54736.731518551394</v>
      </c>
      <c r="P20" s="104">
        <f t="shared" ref="P20:Q20" si="9">P36</f>
        <v>59093.326195294299</v>
      </c>
      <c r="Q20" s="104">
        <f t="shared" si="9"/>
        <v>64652.483588193994</v>
      </c>
    </row>
    <row r="21" spans="1:17">
      <c r="A21" s="2" t="s">
        <v>176</v>
      </c>
      <c r="B21" s="96">
        <f>B50</f>
        <v>0</v>
      </c>
      <c r="C21" s="96">
        <f t="shared" ref="C21:O21" si="10">C50</f>
        <v>50.004934274154508</v>
      </c>
      <c r="D21" s="96">
        <f t="shared" si="10"/>
        <v>199</v>
      </c>
      <c r="E21" s="96">
        <f t="shared" si="10"/>
        <v>458</v>
      </c>
      <c r="F21" s="96">
        <f t="shared" si="10"/>
        <v>669</v>
      </c>
      <c r="G21" s="96">
        <f t="shared" si="10"/>
        <v>829</v>
      </c>
      <c r="H21" s="96">
        <f t="shared" si="10"/>
        <v>1870.3000000000002</v>
      </c>
      <c r="I21" s="96">
        <f t="shared" si="10"/>
        <v>2792</v>
      </c>
      <c r="J21" s="96">
        <f t="shared" si="10"/>
        <v>3045</v>
      </c>
      <c r="K21" s="96">
        <f t="shared" si="10"/>
        <v>4501</v>
      </c>
      <c r="L21" s="96">
        <f t="shared" si="10"/>
        <v>5561.8122554660895</v>
      </c>
      <c r="M21" s="96">
        <f t="shared" si="10"/>
        <v>6346.582334692348</v>
      </c>
      <c r="N21" s="96">
        <f t="shared" si="10"/>
        <v>7070.7325272272255</v>
      </c>
      <c r="O21" s="96">
        <f t="shared" si="10"/>
        <v>7889.0847862190267</v>
      </c>
      <c r="P21" s="96">
        <f t="shared" ref="P21:Q21" si="11">P50</f>
        <v>8915.8078936123184</v>
      </c>
      <c r="Q21" s="96">
        <f t="shared" si="11"/>
        <v>9116.8410246341246</v>
      </c>
    </row>
    <row r="22" spans="1:17">
      <c r="A22" s="2" t="s">
        <v>174</v>
      </c>
      <c r="B22" s="96">
        <f>B3</f>
        <v>4326.7090496981946</v>
      </c>
      <c r="C22" s="96">
        <f t="shared" ref="C22:O22" si="12">C3</f>
        <v>22627.618111934535</v>
      </c>
      <c r="D22" s="96">
        <f t="shared" si="12"/>
        <v>21743</v>
      </c>
      <c r="E22" s="96">
        <f t="shared" si="12"/>
        <v>22010</v>
      </c>
      <c r="F22" s="96">
        <f t="shared" si="12"/>
        <v>22935.895325160491</v>
      </c>
      <c r="G22" s="96">
        <f t="shared" si="12"/>
        <v>25701.495847782531</v>
      </c>
      <c r="H22" s="96">
        <f t="shared" si="12"/>
        <v>29766.093446985531</v>
      </c>
      <c r="I22" s="96">
        <f t="shared" si="12"/>
        <v>34936.366998024998</v>
      </c>
      <c r="J22" s="96">
        <f t="shared" si="12"/>
        <v>38264</v>
      </c>
      <c r="K22" s="96">
        <f t="shared" si="12"/>
        <v>43105</v>
      </c>
      <c r="L22" s="96">
        <f t="shared" si="12"/>
        <v>48589.812255466088</v>
      </c>
      <c r="M22" s="96">
        <f t="shared" si="12"/>
        <v>54273.13507699516</v>
      </c>
      <c r="N22" s="96">
        <f t="shared" si="12"/>
        <v>57600.772992243583</v>
      </c>
      <c r="O22" s="96">
        <f t="shared" si="12"/>
        <v>62625.816304770422</v>
      </c>
      <c r="P22" s="96">
        <f t="shared" ref="P22:Q22" si="13">P3</f>
        <v>68009.13408890662</v>
      </c>
      <c r="Q22" s="96">
        <f t="shared" si="13"/>
        <v>73769.324612828117</v>
      </c>
    </row>
    <row r="23" spans="1:17">
      <c r="A23" s="97"/>
    </row>
    <row r="24" spans="1:17">
      <c r="A24" s="2" t="s">
        <v>14</v>
      </c>
      <c r="B24" s="98">
        <f>B20/B22</f>
        <v>1</v>
      </c>
      <c r="C24" s="98">
        <f t="shared" ref="C24:O24" si="14">C20/C22</f>
        <v>0.99779009288442155</v>
      </c>
      <c r="D24" s="98">
        <f t="shared" si="14"/>
        <v>0.99084762912201629</v>
      </c>
      <c r="E24" s="98">
        <f t="shared" si="14"/>
        <v>0.97919127669241257</v>
      </c>
      <c r="F24" s="98">
        <f t="shared" si="14"/>
        <v>0.97083174689648533</v>
      </c>
      <c r="G24" s="98">
        <f t="shared" si="14"/>
        <v>0.96774506803379212</v>
      </c>
      <c r="H24" s="98">
        <f t="shared" si="14"/>
        <v>0.93716676313836511</v>
      </c>
      <c r="I24" s="98">
        <f t="shared" si="14"/>
        <v>0.92008327596976991</v>
      </c>
      <c r="J24" s="98">
        <f t="shared" si="14"/>
        <v>0.9204212837131508</v>
      </c>
      <c r="K24" s="98">
        <f t="shared" si="14"/>
        <v>0.89558055909987244</v>
      </c>
      <c r="L24" s="98">
        <f t="shared" si="14"/>
        <v>0.88553542404682961</v>
      </c>
      <c r="M24" s="98">
        <f t="shared" si="14"/>
        <v>0.88306217568436574</v>
      </c>
      <c r="N24" s="98">
        <f t="shared" si="14"/>
        <v>0.87724587431874634</v>
      </c>
      <c r="O24" s="98">
        <f t="shared" si="14"/>
        <v>0.87402823225765935</v>
      </c>
      <c r="P24" s="98">
        <f t="shared" ref="P24:Q24" si="15">P20/P22</f>
        <v>0.86890278764677531</v>
      </c>
      <c r="Q24" s="98">
        <f t="shared" si="15"/>
        <v>0.87641419963537592</v>
      </c>
    </row>
    <row r="25" spans="1:17">
      <c r="A25" s="2" t="s">
        <v>169</v>
      </c>
      <c r="B25" s="98">
        <f>B21/B22</f>
        <v>0</v>
      </c>
      <c r="C25" s="98">
        <f t="shared" ref="C25:O25" si="16">C21/C22</f>
        <v>2.2099071155783868E-3</v>
      </c>
      <c r="D25" s="98">
        <f t="shared" si="16"/>
        <v>9.1523708779837187E-3</v>
      </c>
      <c r="E25" s="98">
        <f t="shared" si="16"/>
        <v>2.080872330758746E-2</v>
      </c>
      <c r="F25" s="98">
        <f t="shared" si="16"/>
        <v>2.9168253103514667E-2</v>
      </c>
      <c r="G25" s="98">
        <f t="shared" si="16"/>
        <v>3.2254931966207885E-2</v>
      </c>
      <c r="H25" s="98">
        <f t="shared" si="16"/>
        <v>6.2833236861634889E-2</v>
      </c>
      <c r="I25" s="98">
        <f t="shared" si="16"/>
        <v>7.9916724030230035E-2</v>
      </c>
      <c r="J25" s="98">
        <f t="shared" si="16"/>
        <v>7.957871628684926E-2</v>
      </c>
      <c r="K25" s="98">
        <f t="shared" si="16"/>
        <v>0.1044194409001276</v>
      </c>
      <c r="L25" s="98">
        <f t="shared" si="16"/>
        <v>0.11446457595317043</v>
      </c>
      <c r="M25" s="98">
        <f t="shared" si="16"/>
        <v>0.11693782431563428</v>
      </c>
      <c r="N25" s="98">
        <f t="shared" si="16"/>
        <v>0.12275412568125357</v>
      </c>
      <c r="O25" s="98">
        <f t="shared" si="16"/>
        <v>0.12597176774234059</v>
      </c>
      <c r="P25" s="98">
        <f t="shared" ref="P25:Q25" si="17">P21/P22</f>
        <v>0.13109721235322461</v>
      </c>
      <c r="Q25" s="98">
        <f t="shared" si="17"/>
        <v>0.12358580036462408</v>
      </c>
    </row>
    <row r="26" spans="1:17">
      <c r="A26" s="2" t="s">
        <v>54</v>
      </c>
    </row>
    <row r="28" spans="1:17">
      <c r="A28" s="6" t="s">
        <v>150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</row>
    <row r="29" spans="1:17">
      <c r="A29" s="2" t="s">
        <v>8</v>
      </c>
      <c r="B29" s="96">
        <f>AUM!B5</f>
        <v>3054.5398443601939</v>
      </c>
      <c r="C29" s="96">
        <f>AUM!C5</f>
        <v>15339.170178659486</v>
      </c>
      <c r="D29" s="96">
        <f>AUM!D5</f>
        <v>14328</v>
      </c>
      <c r="E29" s="96">
        <f>AUM!E5</f>
        <v>14462</v>
      </c>
      <c r="F29" s="96">
        <f>AUM!F5</f>
        <v>14340</v>
      </c>
      <c r="G29" s="96">
        <f>AUM!G5</f>
        <v>15307</v>
      </c>
      <c r="H29" s="96">
        <f>AUM!H5</f>
        <v>16227</v>
      </c>
      <c r="I29" s="96">
        <f>AUM!I5</f>
        <v>16568</v>
      </c>
      <c r="J29" s="96">
        <f>AUM!J5</f>
        <v>17480</v>
      </c>
      <c r="K29" s="96">
        <f>AUM!K5</f>
        <v>18949</v>
      </c>
      <c r="L29" s="96">
        <f>AUM!L5</f>
        <v>20275</v>
      </c>
      <c r="M29" s="96">
        <f>AUM!M5</f>
        <v>22021.770546060055</v>
      </c>
      <c r="N29" s="96">
        <f>AUM!N5</f>
        <v>22706.078097559803</v>
      </c>
      <c r="O29" s="96">
        <f>AUM!O5</f>
        <v>23965.074895710895</v>
      </c>
      <c r="P29" s="96">
        <f>AUM!P5</f>
        <v>25287.086125313093</v>
      </c>
      <c r="Q29" s="96">
        <f>AUM!Q5</f>
        <v>26660.988978360547</v>
      </c>
    </row>
    <row r="30" spans="1:17">
      <c r="A30" s="2" t="s">
        <v>151</v>
      </c>
      <c r="B30" s="96">
        <f>AUM!B6</f>
        <v>1126.3900000000001</v>
      </c>
      <c r="C30" s="96">
        <f>AUM!C6</f>
        <v>6402.1931441999996</v>
      </c>
      <c r="D30" s="96">
        <f>AUM!D6</f>
        <v>6168</v>
      </c>
      <c r="E30" s="96">
        <f>AUM!E6</f>
        <v>5732</v>
      </c>
      <c r="F30" s="96">
        <f>AUM!F6</f>
        <v>5924</v>
      </c>
      <c r="G30" s="96">
        <f>AUM!G6</f>
        <v>6435</v>
      </c>
      <c r="H30" s="96">
        <f>AUM!H6</f>
        <v>7022</v>
      </c>
      <c r="I30" s="96">
        <f>AUM!I6</f>
        <v>6980</v>
      </c>
      <c r="J30" s="96">
        <f>AUM!J6</f>
        <v>7492</v>
      </c>
      <c r="K30" s="96">
        <f>AUM!K6</f>
        <v>8072</v>
      </c>
      <c r="L30" s="96">
        <f>AUM!L6</f>
        <v>9304</v>
      </c>
      <c r="M30" s="96">
        <f>AUM!M6</f>
        <v>10590.14210457057</v>
      </c>
      <c r="N30" s="96">
        <f>AUM!N6</f>
        <v>11397.727854141009</v>
      </c>
      <c r="O30" s="96">
        <f>AUM!O6</f>
        <v>13040.046020573549</v>
      </c>
      <c r="P30" s="96">
        <f>AUM!P6</f>
        <v>14740.262780693285</v>
      </c>
      <c r="Q30" s="96">
        <f>AUM!Q6</f>
        <v>17179.597249894538</v>
      </c>
    </row>
    <row r="31" spans="1:17">
      <c r="A31" s="2" t="s">
        <v>9</v>
      </c>
      <c r="B31" s="96">
        <f>AUM!B7</f>
        <v>0</v>
      </c>
      <c r="C31" s="96">
        <f>AUM!C7</f>
        <v>59</v>
      </c>
      <c r="D31" s="96">
        <f>AUM!D7</f>
        <v>71</v>
      </c>
      <c r="E31" s="96">
        <f>AUM!E7</f>
        <v>117</v>
      </c>
      <c r="F31" s="96">
        <f>AUM!F7</f>
        <v>175</v>
      </c>
      <c r="G31" s="96">
        <f>AUM!G7</f>
        <v>321</v>
      </c>
      <c r="H31" s="96">
        <f>AUM!H7</f>
        <v>530</v>
      </c>
      <c r="I31" s="96">
        <f>AUM!I7</f>
        <v>778</v>
      </c>
      <c r="J31" s="96">
        <f>AUM!J7</f>
        <v>1008</v>
      </c>
      <c r="K31" s="96">
        <f>AUM!K7</f>
        <v>1254</v>
      </c>
      <c r="L31" s="96">
        <f>AUM!L7</f>
        <v>1611</v>
      </c>
      <c r="M31" s="96">
        <f>AUM!M7</f>
        <v>2117.117544608132</v>
      </c>
      <c r="N31" s="96">
        <f>AUM!N7</f>
        <v>2523.5549941680197</v>
      </c>
      <c r="O31" s="96">
        <f>AUM!O7</f>
        <v>3076.8687782535735</v>
      </c>
      <c r="P31" s="96">
        <f>AUM!P7</f>
        <v>3530.3799191665721</v>
      </c>
      <c r="Q31" s="96">
        <f>AUM!Q7</f>
        <v>4039.4305795541786</v>
      </c>
    </row>
    <row r="32" spans="1:17">
      <c r="A32" s="2" t="s">
        <v>152</v>
      </c>
      <c r="B32" s="96">
        <f>AUM!B9+AUM!B10</f>
        <v>0</v>
      </c>
      <c r="C32" s="96">
        <f>AUM!C9+AUM!C10</f>
        <v>135</v>
      </c>
      <c r="D32" s="96">
        <f>AUM!D9+AUM!D10</f>
        <v>264</v>
      </c>
      <c r="E32" s="96">
        <f>AUM!E9+AUM!E10</f>
        <v>419</v>
      </c>
      <c r="F32" s="96">
        <f>AUM!F9+AUM!F10</f>
        <v>797.55433955802073</v>
      </c>
      <c r="G32" s="96">
        <f>AUM!G9+AUM!G10</f>
        <v>1292.4025300690332</v>
      </c>
      <c r="H32" s="96">
        <f>AUM!H9+AUM!H10</f>
        <v>1624.8513027000001</v>
      </c>
      <c r="I32" s="96">
        <f>AUM!I9+AUM!I10</f>
        <v>2448</v>
      </c>
      <c r="J32" s="96">
        <f>AUM!J9+AUM!J10</f>
        <v>2929.6949648649488</v>
      </c>
      <c r="K32" s="96">
        <f>AUM!K9+AUM!K10</f>
        <v>3385.1710192215951</v>
      </c>
      <c r="L32" s="96">
        <f>AUM!L9+AUM!L10</f>
        <v>3839</v>
      </c>
      <c r="M32" s="96">
        <f>AUM!M9+AUM!M10</f>
        <v>4282.1818912032304</v>
      </c>
      <c r="N32" s="96">
        <f>AUM!N9+AUM!N10</f>
        <v>4748.9248831283321</v>
      </c>
      <c r="O32" s="96">
        <f>AUM!O9+AUM!O10</f>
        <v>5252.7712990947603</v>
      </c>
      <c r="P32" s="96">
        <f>AUM!P9+AUM!P10</f>
        <v>5271.0176665218833</v>
      </c>
      <c r="Q32" s="96">
        <f>AUM!Q9+AUM!Q10</f>
        <v>5218.8786614300552</v>
      </c>
    </row>
    <row r="33" spans="1:17">
      <c r="A33" s="2" t="s">
        <v>153</v>
      </c>
      <c r="B33" s="96">
        <f>AUM!B11</f>
        <v>0</v>
      </c>
      <c r="C33" s="96">
        <f>AUM!C11</f>
        <v>0</v>
      </c>
      <c r="D33" s="96">
        <f>AUM!D11</f>
        <v>0</v>
      </c>
      <c r="E33" s="96">
        <f>AUM!E11</f>
        <v>0</v>
      </c>
      <c r="F33" s="96">
        <f>AUM!F11</f>
        <v>0</v>
      </c>
      <c r="G33" s="96">
        <f>AUM!G11</f>
        <v>39.144259769000001</v>
      </c>
      <c r="H33" s="96">
        <f>AUM!H11</f>
        <v>378.302212</v>
      </c>
      <c r="I33" s="96">
        <f>AUM!I11</f>
        <v>816</v>
      </c>
      <c r="J33" s="96">
        <f>AUM!J11</f>
        <v>1194.9083763216372</v>
      </c>
      <c r="K33" s="96">
        <f>AUM!K11</f>
        <v>1655.6816892153201</v>
      </c>
      <c r="L33" s="96">
        <f>AUM!L11</f>
        <v>2363</v>
      </c>
      <c r="M33" s="96">
        <f>AUM!M11</f>
        <v>3098.1457260198363</v>
      </c>
      <c r="N33" s="96">
        <f>AUM!N11</f>
        <v>3523.8521182001268</v>
      </c>
      <c r="O33" s="96">
        <f>AUM!O11</f>
        <v>4101.7387116687323</v>
      </c>
      <c r="P33" s="96">
        <f>AUM!P11</f>
        <v>4996.6543242252892</v>
      </c>
      <c r="Q33" s="96">
        <f>AUM!Q11</f>
        <v>5974.8809012305701</v>
      </c>
    </row>
    <row r="34" spans="1:17">
      <c r="A34" s="2" t="s">
        <v>154</v>
      </c>
      <c r="B34" s="96">
        <f>AUM!B8</f>
        <v>11.790891951999981</v>
      </c>
      <c r="C34" s="96">
        <f>AUM!C8</f>
        <v>46</v>
      </c>
      <c r="D34" s="96">
        <f>AUM!D8</f>
        <v>141</v>
      </c>
      <c r="E34" s="96">
        <f>AUM!E8</f>
        <v>280</v>
      </c>
      <c r="F34" s="96">
        <f>AUM!F8</f>
        <v>532.33551306662571</v>
      </c>
      <c r="G34" s="96">
        <f>AUM!G8</f>
        <v>998</v>
      </c>
      <c r="H34" s="96">
        <f>AUM!H8</f>
        <v>1654.6657018999999</v>
      </c>
      <c r="I34" s="96">
        <f>AUM!I8</f>
        <v>2735</v>
      </c>
      <c r="J34" s="96">
        <f>AUM!J8</f>
        <v>3306.2483138882735</v>
      </c>
      <c r="K34" s="96">
        <f>AUM!K8</f>
        <v>3471.2940794269989</v>
      </c>
      <c r="L34" s="96">
        <f>AUM!L8</f>
        <v>3781</v>
      </c>
      <c r="M34" s="96">
        <f>AUM!M8</f>
        <v>3814.2201035299818</v>
      </c>
      <c r="N34" s="96">
        <f>AUM!N8</f>
        <v>3541.7502496090638</v>
      </c>
      <c r="O34" s="96">
        <f>AUM!O8</f>
        <v>3076.4227855588824</v>
      </c>
      <c r="P34" s="96">
        <f>AUM!P8</f>
        <v>2851.8082583840001</v>
      </c>
      <c r="Q34" s="96">
        <f>AUM!Q8</f>
        <v>2898.2790656241077</v>
      </c>
    </row>
    <row r="35" spans="1:17">
      <c r="A35" s="2" t="s">
        <v>52</v>
      </c>
      <c r="B35" s="96">
        <f>AUM!B12+AUM!B13</f>
        <v>133.98831338600121</v>
      </c>
      <c r="C35" s="96">
        <f>AUM!C12+AUM!C13</f>
        <v>596.24985480089526</v>
      </c>
      <c r="D35" s="96">
        <f>AUM!D12+AUM!D13</f>
        <v>572</v>
      </c>
      <c r="E35" s="96">
        <f>AUM!E12+AUM!E13</f>
        <v>542</v>
      </c>
      <c r="F35" s="96">
        <f>AUM!F12+AUM!F13</f>
        <v>498.00547253584591</v>
      </c>
      <c r="G35" s="96">
        <f>AUM!G12+AUM!G13</f>
        <v>479.94905794449733</v>
      </c>
      <c r="H35" s="96">
        <f>AUM!H12+AUM!H13</f>
        <v>458.97423038553461</v>
      </c>
      <c r="I35" s="96">
        <f>AUM!I12+AUM!I13</f>
        <v>1819.3669980249942</v>
      </c>
      <c r="J35" s="96">
        <f>AUM!J12+AUM!J13</f>
        <v>1808.1483449251391</v>
      </c>
      <c r="K35" s="96">
        <f>AUM!K12+AUM!K13</f>
        <v>1816.8532121360856</v>
      </c>
      <c r="L35" s="96">
        <f>AUM!L12+AUM!L13</f>
        <v>1855.000000000003</v>
      </c>
      <c r="M35" s="96">
        <f>AUM!M12+AUM!M13</f>
        <v>2002.974826311</v>
      </c>
      <c r="N35" s="96">
        <f>AUM!N12+AUM!N13</f>
        <v>2088.1522682100021</v>
      </c>
      <c r="O35" s="96">
        <f>AUM!O12+AUM!O13</f>
        <v>2223.8090276910016</v>
      </c>
      <c r="P35" s="96">
        <f>AUM!P12+AUM!P13</f>
        <v>2416.117120990175</v>
      </c>
      <c r="Q35" s="96">
        <f>AUM!Q12+AUM!Q13</f>
        <v>2680.4281521000003</v>
      </c>
    </row>
    <row r="36" spans="1:17">
      <c r="A36" s="2" t="s">
        <v>174</v>
      </c>
      <c r="B36" s="96">
        <f>AUM!B14</f>
        <v>4326.7090496981946</v>
      </c>
      <c r="C36" s="96">
        <f>AUM!C14</f>
        <v>22577.61317766038</v>
      </c>
      <c r="D36" s="96">
        <f>AUM!D14</f>
        <v>21544</v>
      </c>
      <c r="E36" s="96">
        <f>AUM!E14</f>
        <v>21552</v>
      </c>
      <c r="F36" s="96">
        <f>AUM!F14</f>
        <v>22266.895325160491</v>
      </c>
      <c r="G36" s="96">
        <f>AUM!G14</f>
        <v>24872.495847782531</v>
      </c>
      <c r="H36" s="96">
        <f>AUM!H14</f>
        <v>27895.793446985532</v>
      </c>
      <c r="I36" s="96">
        <f>AUM!I14</f>
        <v>32144.366998024994</v>
      </c>
      <c r="J36" s="96">
        <f>AUM!J14</f>
        <v>35219</v>
      </c>
      <c r="K36" s="96">
        <f>AUM!K14</f>
        <v>38604</v>
      </c>
      <c r="L36" s="96">
        <f>AUM!L14</f>
        <v>43028</v>
      </c>
      <c r="M36" s="96">
        <f>AUM!M14</f>
        <v>47926.552742302811</v>
      </c>
      <c r="N36" s="96">
        <f>AUM!N14</f>
        <v>50530.040465016355</v>
      </c>
      <c r="O36" s="96">
        <f>AUM!O14</f>
        <v>54736.731518551394</v>
      </c>
      <c r="P36" s="96">
        <f>AUM!P14</f>
        <v>59093.326195294299</v>
      </c>
      <c r="Q36" s="96">
        <f>AUM!Q14</f>
        <v>64652.483588193994</v>
      </c>
    </row>
    <row r="38" spans="1:17">
      <c r="A38" s="2" t="s">
        <v>8</v>
      </c>
      <c r="B38" s="98">
        <f>B29/$B$36</f>
        <v>0.70597301766183251</v>
      </c>
      <c r="C38" s="98">
        <f>C29/$C$36</f>
        <v>0.67939733301113359</v>
      </c>
      <c r="D38" s="98">
        <f>D29/$D$36</f>
        <v>0.66505755662829558</v>
      </c>
      <c r="E38" s="98">
        <f>E29/$E$36</f>
        <v>0.6710282108389013</v>
      </c>
      <c r="F38" s="98">
        <f>F29/$F$36</f>
        <v>0.64400536269627628</v>
      </c>
      <c r="G38" s="98">
        <f>G29/$G$36</f>
        <v>0.61541873777675882</v>
      </c>
      <c r="H38" s="98">
        <f>H29/$H$36</f>
        <v>0.58170060768619281</v>
      </c>
      <c r="I38" s="98">
        <f>I29/$I$36</f>
        <v>0.51542467770536493</v>
      </c>
      <c r="J38" s="98">
        <f>J29/$J$36</f>
        <v>0.49632300746756014</v>
      </c>
      <c r="K38" s="98">
        <f>K29/$K$36</f>
        <v>0.4908558698580458</v>
      </c>
      <c r="L38" s="98">
        <f>L29/$L$36</f>
        <v>0.47120479687645256</v>
      </c>
      <c r="M38" s="98">
        <f>M29/$M$36</f>
        <v>0.45948997551460319</v>
      </c>
      <c r="N38" s="98">
        <f>N29/$N$36</f>
        <v>0.44935800344905685</v>
      </c>
      <c r="O38" s="98">
        <f>O29/$O$36</f>
        <v>0.43782436822316734</v>
      </c>
      <c r="P38" s="98">
        <f>P29/$P$36</f>
        <v>0.42791779974853988</v>
      </c>
      <c r="Q38" s="98">
        <f>Q29/$Q$36</f>
        <v>0.41237377899012428</v>
      </c>
    </row>
    <row r="39" spans="1:17">
      <c r="A39" s="2" t="s">
        <v>151</v>
      </c>
      <c r="B39" s="98">
        <f>B30/$B$36</f>
        <v>0.26033412162959524</v>
      </c>
      <c r="C39" s="98">
        <f>C30/$C$36</f>
        <v>0.28356377150330075</v>
      </c>
      <c r="D39" s="98">
        <f>D30/$D$36</f>
        <v>0.28629780913479391</v>
      </c>
      <c r="E39" s="98">
        <f>E30/$E$36</f>
        <v>0.26596139569413513</v>
      </c>
      <c r="F39" s="98">
        <f>F30/$F$36</f>
        <v>0.26604517214872669</v>
      </c>
      <c r="G39" s="98">
        <f>G30/$G$36</f>
        <v>0.25871951248405584</v>
      </c>
      <c r="H39" s="98">
        <f>H30/$H$36</f>
        <v>0.25172254065276678</v>
      </c>
      <c r="I39" s="98">
        <f t="shared" ref="I39:I44" si="18">I30/$I$36</f>
        <v>0.21714535552773098</v>
      </c>
      <c r="J39" s="98">
        <f t="shared" ref="J39:J44" si="19">J30/$J$36</f>
        <v>0.21272608535165677</v>
      </c>
      <c r="K39" s="98">
        <f t="shared" ref="K39:K44" si="20">K30/$K$36</f>
        <v>0.20909750284944564</v>
      </c>
      <c r="L39" s="98">
        <f t="shared" ref="L39:L44" si="21">L30/$L$36</f>
        <v>0.21623129125220786</v>
      </c>
      <c r="M39" s="98">
        <f t="shared" ref="M39:M44" si="22">M30/$M$36</f>
        <v>0.22096607201258361</v>
      </c>
      <c r="N39" s="98">
        <f t="shared" ref="N39:N44" si="23">N30/$N$36</f>
        <v>0.22556340246812268</v>
      </c>
      <c r="O39" s="98">
        <f t="shared" ref="O39:O44" si="24">O30/$O$36</f>
        <v>0.23823209129967893</v>
      </c>
      <c r="P39" s="98">
        <f t="shared" ref="P39:P44" si="25">P30/$P$36</f>
        <v>0.24944039758362893</v>
      </c>
      <c r="Q39" s="98">
        <f t="shared" ref="Q39:Q44" si="26">Q30/$Q$36</f>
        <v>0.26572215476393013</v>
      </c>
    </row>
    <row r="40" spans="1:17">
      <c r="A40" s="2" t="s">
        <v>9</v>
      </c>
      <c r="B40" s="98"/>
      <c r="C40" s="98"/>
      <c r="D40" s="98"/>
      <c r="E40" s="98"/>
      <c r="F40" s="98"/>
      <c r="G40" s="98"/>
      <c r="H40" s="98"/>
      <c r="I40" s="98"/>
      <c r="J40" s="98">
        <f t="shared" si="19"/>
        <v>2.8620914847099575E-2</v>
      </c>
      <c r="K40" s="98">
        <f t="shared" si="20"/>
        <v>3.248368044762201E-2</v>
      </c>
      <c r="L40" s="98">
        <f t="shared" si="21"/>
        <v>3.7440736264757829E-2</v>
      </c>
      <c r="M40" s="98">
        <f t="shared" si="22"/>
        <v>4.4174208731258047E-2</v>
      </c>
      <c r="N40" s="98">
        <f t="shared" si="23"/>
        <v>4.9941677682113904E-2</v>
      </c>
      <c r="O40" s="98">
        <f t="shared" si="24"/>
        <v>5.6212139323860794E-2</v>
      </c>
      <c r="P40" s="98">
        <f t="shared" si="25"/>
        <v>5.9742447184293078E-2</v>
      </c>
      <c r="Q40" s="98">
        <f t="shared" si="26"/>
        <v>6.2479124627036101E-2</v>
      </c>
    </row>
    <row r="41" spans="1:17">
      <c r="A41" s="2" t="s">
        <v>152</v>
      </c>
      <c r="B41" s="98"/>
      <c r="C41" s="98"/>
      <c r="D41" s="98"/>
      <c r="E41" s="98"/>
      <c r="F41" s="98"/>
      <c r="G41" s="98"/>
      <c r="H41" s="98">
        <f>H32/$H$36</f>
        <v>5.8247180019738221E-2</v>
      </c>
      <c r="I41" s="98">
        <f t="shared" si="18"/>
        <v>7.6156422683651206E-2</v>
      </c>
      <c r="J41" s="98">
        <f t="shared" si="19"/>
        <v>8.3185069560888975E-2</v>
      </c>
      <c r="K41" s="98">
        <f t="shared" si="20"/>
        <v>8.7689644058170008E-2</v>
      </c>
      <c r="L41" s="98">
        <f t="shared" si="21"/>
        <v>8.9220972390071582E-2</v>
      </c>
      <c r="M41" s="98">
        <f t="shared" si="22"/>
        <v>8.934883996827761E-2</v>
      </c>
      <c r="N41" s="98">
        <f t="shared" si="23"/>
        <v>9.3982210174879482E-2</v>
      </c>
      <c r="O41" s="98">
        <f t="shared" si="24"/>
        <v>9.5964284921076975E-2</v>
      </c>
      <c r="P41" s="98">
        <f t="shared" si="25"/>
        <v>8.9198188795499261E-2</v>
      </c>
      <c r="Q41" s="98">
        <f t="shared" si="26"/>
        <v>8.0722013630162529E-2</v>
      </c>
    </row>
    <row r="42" spans="1:17">
      <c r="A42" s="2" t="s">
        <v>153</v>
      </c>
      <c r="B42" s="98"/>
      <c r="C42" s="98"/>
      <c r="D42" s="98"/>
      <c r="E42" s="98"/>
      <c r="F42" s="98"/>
      <c r="G42" s="98"/>
      <c r="H42" s="98"/>
      <c r="I42" s="98"/>
      <c r="J42" s="98">
        <f t="shared" si="19"/>
        <v>3.3927947310305157E-2</v>
      </c>
      <c r="K42" s="98">
        <f t="shared" si="20"/>
        <v>4.2888863568938972E-2</v>
      </c>
      <c r="L42" s="98">
        <f t="shared" si="21"/>
        <v>5.4917727991075575E-2</v>
      </c>
      <c r="M42" s="98">
        <f t="shared" si="22"/>
        <v>6.4643617133873885E-2</v>
      </c>
      <c r="N42" s="98">
        <f t="shared" si="23"/>
        <v>6.973776560974275E-2</v>
      </c>
      <c r="O42" s="98">
        <f t="shared" si="24"/>
        <v>7.4935762473843898E-2</v>
      </c>
      <c r="P42" s="98">
        <f t="shared" si="25"/>
        <v>8.4555306765304081E-2</v>
      </c>
      <c r="Q42" s="98">
        <f t="shared" si="26"/>
        <v>9.2415334564527482E-2</v>
      </c>
    </row>
    <row r="43" spans="1:17">
      <c r="A43" s="2" t="s">
        <v>154</v>
      </c>
      <c r="B43" s="98"/>
      <c r="C43" s="98"/>
      <c r="D43" s="98"/>
      <c r="E43" s="98"/>
      <c r="F43" s="98"/>
      <c r="G43" s="98"/>
      <c r="H43" s="98">
        <f>H34/$H$36</f>
        <v>5.9315957620800566E-2</v>
      </c>
      <c r="I43" s="98">
        <f t="shared" si="18"/>
        <v>8.5084892173115226E-2</v>
      </c>
      <c r="J43" s="98">
        <f t="shared" si="19"/>
        <v>9.3876836761074237E-2</v>
      </c>
      <c r="K43" s="98">
        <f t="shared" si="20"/>
        <v>8.9920580235908168E-2</v>
      </c>
      <c r="L43" s="98">
        <f t="shared" si="21"/>
        <v>8.7873012921818344E-2</v>
      </c>
      <c r="M43" s="98">
        <f t="shared" si="22"/>
        <v>7.9584695440933009E-2</v>
      </c>
      <c r="N43" s="98">
        <f t="shared" si="23"/>
        <v>7.0091973349222556E-2</v>
      </c>
      <c r="O43" s="98">
        <f t="shared" si="24"/>
        <v>5.6203991363938492E-2</v>
      </c>
      <c r="P43" s="98">
        <f t="shared" si="25"/>
        <v>4.82593964834407E-2</v>
      </c>
      <c r="Q43" s="98">
        <f t="shared" si="26"/>
        <v>4.4828580508751784E-2</v>
      </c>
    </row>
    <row r="44" spans="1:17">
      <c r="A44" s="2" t="s">
        <v>52</v>
      </c>
      <c r="B44" s="98"/>
      <c r="C44" s="98"/>
      <c r="D44" s="98"/>
      <c r="E44" s="98"/>
      <c r="F44" s="98"/>
      <c r="G44" s="98"/>
      <c r="H44" s="98"/>
      <c r="I44" s="98">
        <f t="shared" si="18"/>
        <v>5.6599870146355015E-2</v>
      </c>
      <c r="J44" s="98">
        <f t="shared" si="19"/>
        <v>5.1340138701415121E-2</v>
      </c>
      <c r="K44" s="98">
        <f t="shared" si="20"/>
        <v>4.7063858981869384E-2</v>
      </c>
      <c r="L44" s="98">
        <f t="shared" si="21"/>
        <v>4.3111462303616316E-2</v>
      </c>
      <c r="M44" s="98">
        <f t="shared" si="22"/>
        <v>4.179259119847057E-2</v>
      </c>
      <c r="N44" s="98">
        <f t="shared" si="23"/>
        <v>4.132496726686178E-2</v>
      </c>
      <c r="O44" s="98">
        <f t="shared" si="24"/>
        <v>4.0627362394433569E-2</v>
      </c>
      <c r="P44" s="98">
        <f t="shared" si="25"/>
        <v>4.0886463439294002E-2</v>
      </c>
      <c r="Q44" s="98">
        <f t="shared" si="26"/>
        <v>4.1459012915467733E-2</v>
      </c>
    </row>
    <row r="45" spans="1:17">
      <c r="A45" s="2" t="s">
        <v>54</v>
      </c>
      <c r="B45" s="99">
        <f>SUM(B38:B44)</f>
        <v>0.96630713929142775</v>
      </c>
      <c r="C45" s="99">
        <f t="shared" ref="C45:O45" si="27">SUM(C38:C44)</f>
        <v>0.9629611045144344</v>
      </c>
      <c r="D45" s="99">
        <f t="shared" si="27"/>
        <v>0.95135536576308954</v>
      </c>
      <c r="E45" s="99">
        <f t="shared" si="27"/>
        <v>0.93698960653303642</v>
      </c>
      <c r="F45" s="99">
        <f t="shared" si="27"/>
        <v>0.91005053484500298</v>
      </c>
      <c r="G45" s="99">
        <f t="shared" si="27"/>
        <v>0.8741382502608146</v>
      </c>
      <c r="H45" s="99">
        <f t="shared" si="27"/>
        <v>0.9509862859794983</v>
      </c>
      <c r="I45" s="99">
        <f t="shared" si="27"/>
        <v>0.95041121823621733</v>
      </c>
      <c r="J45" s="99">
        <f t="shared" si="27"/>
        <v>1</v>
      </c>
      <c r="K45" s="99">
        <f t="shared" si="27"/>
        <v>1</v>
      </c>
      <c r="L45" s="99">
        <f t="shared" si="27"/>
        <v>1</v>
      </c>
      <c r="M45" s="99">
        <f t="shared" si="27"/>
        <v>0.99999999999999989</v>
      </c>
      <c r="N45" s="99">
        <f t="shared" si="27"/>
        <v>1</v>
      </c>
      <c r="O45" s="99">
        <f t="shared" si="27"/>
        <v>1</v>
      </c>
      <c r="P45" s="99">
        <f t="shared" ref="P45:Q45" si="28">SUM(P38:P44)</f>
        <v>1</v>
      </c>
      <c r="Q45" s="99">
        <f t="shared" si="28"/>
        <v>1</v>
      </c>
    </row>
    <row r="47" spans="1:17">
      <c r="A47" s="6" t="s">
        <v>156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</row>
    <row r="48" spans="1:17">
      <c r="A48" s="2" t="s">
        <v>157</v>
      </c>
      <c r="B48" s="96">
        <f>AUM!B29</f>
        <v>0</v>
      </c>
      <c r="C48" s="96">
        <f>AUM!C29</f>
        <v>0</v>
      </c>
      <c r="D48" s="96">
        <f>AUM!D29</f>
        <v>0</v>
      </c>
      <c r="E48" s="96">
        <f>AUM!E29</f>
        <v>0</v>
      </c>
      <c r="F48" s="96">
        <f>AUM!F29</f>
        <v>0</v>
      </c>
      <c r="G48" s="96">
        <f>AUM!G29</f>
        <v>25</v>
      </c>
      <c r="H48" s="96">
        <f>AUM!H29</f>
        <v>696.6</v>
      </c>
      <c r="I48" s="96">
        <f>AUM!I29</f>
        <v>1296</v>
      </c>
      <c r="J48" s="96">
        <f>AUM!J29</f>
        <v>1428</v>
      </c>
      <c r="K48" s="96">
        <f>AUM!K29</f>
        <v>2593</v>
      </c>
      <c r="L48" s="96">
        <f>AUM!L29</f>
        <v>3468.0776806484296</v>
      </c>
      <c r="M48" s="96">
        <f>AUM!M29</f>
        <v>4243.1349863880314</v>
      </c>
      <c r="N48" s="96">
        <f>AUM!N29</f>
        <v>4915.1690070920904</v>
      </c>
      <c r="O48" s="96">
        <f>AUM!O29</f>
        <v>5900.8240961045567</v>
      </c>
      <c r="P48" s="96">
        <f>AUM!P29</f>
        <v>6744.1078936123185</v>
      </c>
      <c r="Q48" s="96">
        <f>AUM!Q29</f>
        <v>6679.571024634125</v>
      </c>
    </row>
    <row r="49" spans="1:17">
      <c r="A49" s="2" t="s">
        <v>12</v>
      </c>
      <c r="B49" s="96">
        <f>AUM!B30</f>
        <v>0</v>
      </c>
      <c r="C49" s="96">
        <f>AUM!C30</f>
        <v>50.004934274154508</v>
      </c>
      <c r="D49" s="96">
        <f>AUM!D30</f>
        <v>199</v>
      </c>
      <c r="E49" s="96">
        <f>AUM!E30</f>
        <v>458</v>
      </c>
      <c r="F49" s="96">
        <f>AUM!F30</f>
        <v>669</v>
      </c>
      <c r="G49" s="96">
        <f>AUM!G30</f>
        <v>804</v>
      </c>
      <c r="H49" s="96">
        <f>AUM!H30</f>
        <v>1173.7</v>
      </c>
      <c r="I49" s="96">
        <f>AUM!I30</f>
        <v>1496</v>
      </c>
      <c r="J49" s="96">
        <f>AUM!J30</f>
        <v>1617</v>
      </c>
      <c r="K49" s="96">
        <f>AUM!K30</f>
        <v>1908</v>
      </c>
      <c r="L49" s="96">
        <f>AUM!L30</f>
        <v>2093.7345748176594</v>
      </c>
      <c r="M49" s="96">
        <f>AUM!M30</f>
        <v>2103.4473483043162</v>
      </c>
      <c r="N49" s="96">
        <f>AUM!N30</f>
        <v>2155.5635201351351</v>
      </c>
      <c r="O49" s="96">
        <f>AUM!O30</f>
        <v>1988.2606901144698</v>
      </c>
      <c r="P49" s="96">
        <f>AUM!P30</f>
        <v>2171.6999999999998</v>
      </c>
      <c r="Q49" s="96">
        <f>AUM!Q30</f>
        <v>2437.27</v>
      </c>
    </row>
    <row r="50" spans="1:17">
      <c r="A50" s="2" t="s">
        <v>174</v>
      </c>
      <c r="B50" s="96">
        <f>AUM!B31</f>
        <v>0</v>
      </c>
      <c r="C50" s="96">
        <f>AUM!C31</f>
        <v>50.004934274154508</v>
      </c>
      <c r="D50" s="96">
        <f>AUM!D31</f>
        <v>199</v>
      </c>
      <c r="E50" s="96">
        <f>AUM!E31</f>
        <v>458</v>
      </c>
      <c r="F50" s="96">
        <f>AUM!F31</f>
        <v>669</v>
      </c>
      <c r="G50" s="96">
        <f>AUM!G31</f>
        <v>829</v>
      </c>
      <c r="H50" s="96">
        <f>AUM!H31</f>
        <v>1870.3000000000002</v>
      </c>
      <c r="I50" s="96">
        <f>AUM!I31</f>
        <v>2792</v>
      </c>
      <c r="J50" s="96">
        <f>AUM!J31</f>
        <v>3045</v>
      </c>
      <c r="K50" s="96">
        <f>AUM!K31</f>
        <v>4501</v>
      </c>
      <c r="L50" s="96">
        <f>AUM!L31</f>
        <v>5561.8122554660895</v>
      </c>
      <c r="M50" s="96">
        <f>AUM!M31</f>
        <v>6346.582334692348</v>
      </c>
      <c r="N50" s="96">
        <f>AUM!N31</f>
        <v>7070.7325272272255</v>
      </c>
      <c r="O50" s="96">
        <f>AUM!O31</f>
        <v>7889.0847862190267</v>
      </c>
      <c r="P50" s="96">
        <f>AUM!P31</f>
        <v>8915.8078936123184</v>
      </c>
      <c r="Q50" s="96">
        <f>AUM!Q31</f>
        <v>9116.8410246341246</v>
      </c>
    </row>
    <row r="52" spans="1:17">
      <c r="A52" s="2" t="s">
        <v>157</v>
      </c>
      <c r="B52" s="98"/>
      <c r="C52" s="98">
        <f t="shared" ref="C52:O52" si="29">C48/C50</f>
        <v>0</v>
      </c>
      <c r="D52" s="98">
        <f t="shared" si="29"/>
        <v>0</v>
      </c>
      <c r="E52" s="98">
        <f t="shared" si="29"/>
        <v>0</v>
      </c>
      <c r="F52" s="98">
        <f t="shared" si="29"/>
        <v>0</v>
      </c>
      <c r="G52" s="98">
        <f t="shared" si="29"/>
        <v>3.0156815440289506E-2</v>
      </c>
      <c r="H52" s="98">
        <f t="shared" si="29"/>
        <v>0.37245361706678071</v>
      </c>
      <c r="I52" s="98">
        <f t="shared" si="29"/>
        <v>0.46418338108882523</v>
      </c>
      <c r="J52" s="98">
        <f t="shared" si="29"/>
        <v>0.4689655172413793</v>
      </c>
      <c r="K52" s="98">
        <f t="shared" si="29"/>
        <v>0.57609420128860256</v>
      </c>
      <c r="L52" s="98">
        <f t="shared" si="29"/>
        <v>0.62355173482169235</v>
      </c>
      <c r="M52" s="98">
        <f t="shared" si="29"/>
        <v>0.66857006852235512</v>
      </c>
      <c r="N52" s="98">
        <f t="shared" si="29"/>
        <v>0.69514282829470353</v>
      </c>
      <c r="O52" s="98">
        <f t="shared" si="29"/>
        <v>0.74797321311749054</v>
      </c>
      <c r="P52" s="98">
        <f t="shared" ref="P52:Q52" si="30">P48/P50</f>
        <v>0.75642140051538098</v>
      </c>
      <c r="Q52" s="98">
        <f t="shared" si="30"/>
        <v>0.73266288252538536</v>
      </c>
    </row>
    <row r="53" spans="1:17">
      <c r="A53" s="2" t="s">
        <v>12</v>
      </c>
      <c r="B53" s="98"/>
      <c r="C53" s="98">
        <f t="shared" ref="C53:O53" si="31">C49/C50</f>
        <v>1</v>
      </c>
      <c r="D53" s="98">
        <f t="shared" si="31"/>
        <v>1</v>
      </c>
      <c r="E53" s="98">
        <f t="shared" si="31"/>
        <v>1</v>
      </c>
      <c r="F53" s="98">
        <f t="shared" si="31"/>
        <v>1</v>
      </c>
      <c r="G53" s="98">
        <f t="shared" si="31"/>
        <v>0.96984318455971052</v>
      </c>
      <c r="H53" s="98">
        <f t="shared" si="31"/>
        <v>0.62754638293321918</v>
      </c>
      <c r="I53" s="98">
        <f t="shared" si="31"/>
        <v>0.53581661891117482</v>
      </c>
      <c r="J53" s="98">
        <f t="shared" si="31"/>
        <v>0.53103448275862064</v>
      </c>
      <c r="K53" s="98">
        <f t="shared" si="31"/>
        <v>0.42390579871139744</v>
      </c>
      <c r="L53" s="98">
        <f t="shared" si="31"/>
        <v>0.3764482651783076</v>
      </c>
      <c r="M53" s="98">
        <f t="shared" si="31"/>
        <v>0.33142993147764482</v>
      </c>
      <c r="N53" s="98">
        <f t="shared" si="31"/>
        <v>0.30485717170529647</v>
      </c>
      <c r="O53" s="98">
        <f t="shared" si="31"/>
        <v>0.2520267868825094</v>
      </c>
      <c r="P53" s="98">
        <f t="shared" ref="P53:Q53" si="32">P49/P50</f>
        <v>0.24357859948461905</v>
      </c>
      <c r="Q53" s="98">
        <f t="shared" si="32"/>
        <v>0.26733711747461475</v>
      </c>
    </row>
    <row r="54" spans="1:17">
      <c r="A54" s="2" t="s">
        <v>54</v>
      </c>
      <c r="B54" s="99"/>
      <c r="C54" s="99">
        <f t="shared" ref="C54:O54" si="33">SUM(C52:C53)</f>
        <v>1</v>
      </c>
      <c r="D54" s="99">
        <f t="shared" si="33"/>
        <v>1</v>
      </c>
      <c r="E54" s="99">
        <f t="shared" si="33"/>
        <v>1</v>
      </c>
      <c r="F54" s="99">
        <f t="shared" si="33"/>
        <v>1</v>
      </c>
      <c r="G54" s="99">
        <f t="shared" si="33"/>
        <v>1</v>
      </c>
      <c r="H54" s="99">
        <f t="shared" si="33"/>
        <v>0.99999999999999989</v>
      </c>
      <c r="I54" s="99">
        <f t="shared" si="33"/>
        <v>1</v>
      </c>
      <c r="J54" s="99">
        <f t="shared" si="33"/>
        <v>1</v>
      </c>
      <c r="K54" s="99">
        <f t="shared" si="33"/>
        <v>1</v>
      </c>
      <c r="L54" s="99">
        <f t="shared" si="33"/>
        <v>1</v>
      </c>
      <c r="M54" s="99">
        <f t="shared" si="33"/>
        <v>1</v>
      </c>
      <c r="N54" s="99">
        <f t="shared" si="33"/>
        <v>1</v>
      </c>
      <c r="O54" s="99">
        <f t="shared" si="33"/>
        <v>1</v>
      </c>
      <c r="P54" s="99">
        <f t="shared" ref="P54:Q54" si="34">SUM(P52:P53)</f>
        <v>1</v>
      </c>
      <c r="Q54" s="99">
        <f t="shared" si="34"/>
        <v>1</v>
      </c>
    </row>
    <row r="56" spans="1:17">
      <c r="A56" s="6" t="s">
        <v>177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</row>
    <row r="57" spans="1:17">
      <c r="A57" s="2" t="s">
        <v>119</v>
      </c>
      <c r="B57" s="96">
        <f t="shared" ref="B57:O57" si="35">B4</f>
        <v>42854.135113062519</v>
      </c>
      <c r="C57" s="96">
        <f t="shared" si="35"/>
        <v>44357.832308077464</v>
      </c>
      <c r="D57" s="96">
        <f t="shared" si="35"/>
        <v>44049.408231938643</v>
      </c>
      <c r="E57" s="96">
        <f t="shared" si="35"/>
        <v>43175</v>
      </c>
      <c r="F57" s="96">
        <f t="shared" si="35"/>
        <v>41655</v>
      </c>
      <c r="G57" s="96">
        <f t="shared" si="35"/>
        <v>38079</v>
      </c>
      <c r="H57" s="96">
        <f t="shared" si="35"/>
        <v>35101</v>
      </c>
      <c r="I57" s="96">
        <f t="shared" si="35"/>
        <v>29053.000000000004</v>
      </c>
      <c r="J57" s="96">
        <f t="shared" si="35"/>
        <v>26001.999999999996</v>
      </c>
      <c r="K57" s="96">
        <f t="shared" si="35"/>
        <v>23827.000000000004</v>
      </c>
      <c r="L57" s="96">
        <f t="shared" si="35"/>
        <v>18692.993904399129</v>
      </c>
      <c r="M57" s="96">
        <f t="shared" si="35"/>
        <v>14572</v>
      </c>
      <c r="N57" s="96">
        <f t="shared" si="35"/>
        <v>12974.757788127543</v>
      </c>
      <c r="O57" s="96">
        <f t="shared" si="35"/>
        <v>12066.02536817637</v>
      </c>
      <c r="P57" s="96">
        <f t="shared" ref="P57:Q57" si="36">P4</f>
        <v>10353.042338898958</v>
      </c>
      <c r="Q57" s="96">
        <f t="shared" si="36"/>
        <v>6919.891847915027</v>
      </c>
    </row>
    <row r="58" spans="1:17">
      <c r="A58" s="2" t="s">
        <v>178</v>
      </c>
      <c r="B58" s="98">
        <f>B57/B5</f>
        <v>0.90829521755116849</v>
      </c>
      <c r="C58" s="98">
        <f t="shared" ref="C58:O58" si="37">C57/C5</f>
        <v>0.66220100081353639</v>
      </c>
      <c r="D58" s="98">
        <f t="shared" si="37"/>
        <v>0.66952114105096783</v>
      </c>
      <c r="E58" s="98">
        <f t="shared" si="37"/>
        <v>0.66234563166372629</v>
      </c>
      <c r="F58" s="98">
        <f t="shared" si="37"/>
        <v>0.64490513392487181</v>
      </c>
      <c r="G58" s="98">
        <f t="shared" si="37"/>
        <v>0.59703204708346436</v>
      </c>
      <c r="H58" s="98">
        <f t="shared" si="37"/>
        <v>0.54112182517761931</v>
      </c>
      <c r="I58" s="98">
        <f t="shared" si="37"/>
        <v>0.45402855760233901</v>
      </c>
      <c r="J58" s="98">
        <f t="shared" si="37"/>
        <v>0.40459963277627353</v>
      </c>
      <c r="K58" s="98">
        <f t="shared" si="37"/>
        <v>0.35598816709496212</v>
      </c>
      <c r="L58" s="98">
        <f t="shared" si="37"/>
        <v>0.27782720387708298</v>
      </c>
      <c r="M58" s="98">
        <f t="shared" si="37"/>
        <v>0.2116634673416348</v>
      </c>
      <c r="N58" s="98">
        <f t="shared" si="37"/>
        <v>0.1838421566889038</v>
      </c>
      <c r="O58" s="98">
        <f t="shared" si="37"/>
        <v>0.16154408698355413</v>
      </c>
      <c r="P58" s="98">
        <f t="shared" ref="P58:Q58" si="38">P57/P5</f>
        <v>0.1321178508669566</v>
      </c>
      <c r="Q58" s="98">
        <f t="shared" si="38"/>
        <v>8.5759809692558947E-2</v>
      </c>
    </row>
    <row r="60" spans="1:17">
      <c r="A60" s="6" t="s">
        <v>261</v>
      </c>
      <c r="B60" s="103"/>
      <c r="C60" s="103"/>
      <c r="D60" s="103"/>
      <c r="E60" s="103"/>
      <c r="F60" s="103"/>
      <c r="G60" s="103"/>
      <c r="H60" s="103"/>
      <c r="I60" s="121" t="s">
        <v>212</v>
      </c>
      <c r="J60" s="103"/>
      <c r="K60" s="103"/>
      <c r="L60" s="103"/>
      <c r="M60" s="103"/>
      <c r="N60" s="103"/>
      <c r="O60" s="103"/>
      <c r="P60" s="103"/>
      <c r="Q60" s="103"/>
    </row>
    <row r="61" spans="1:17">
      <c r="A61" s="2" t="s">
        <v>100</v>
      </c>
      <c r="D61" s="93"/>
      <c r="F61" s="105"/>
      <c r="G61" s="105"/>
      <c r="H61" s="105"/>
      <c r="I61" s="105">
        <v>0.15066960015419045</v>
      </c>
      <c r="J61" s="105">
        <v>0.1477195557118694</v>
      </c>
      <c r="K61" s="105">
        <v>0.14727007538592818</v>
      </c>
      <c r="L61" s="105">
        <v>0.14821397466499575</v>
      </c>
      <c r="M61" s="105">
        <v>0.15030013501928385</v>
      </c>
      <c r="N61" s="105">
        <v>0.14105699581639072</v>
      </c>
      <c r="O61" s="105">
        <v>0.14175829566093476</v>
      </c>
      <c r="P61" s="105">
        <v>0.13887794502563183</v>
      </c>
      <c r="Q61" s="105">
        <v>0.14276015757326815</v>
      </c>
    </row>
    <row r="62" spans="1:17">
      <c r="A62" s="2" t="s">
        <v>158</v>
      </c>
      <c r="D62" s="93"/>
      <c r="F62" s="105"/>
      <c r="G62" s="105"/>
      <c r="H62" s="105"/>
      <c r="I62" s="105">
        <v>6.1720993954046087E-2</v>
      </c>
      <c r="J62" s="105">
        <v>6.3484226802357102E-2</v>
      </c>
      <c r="K62" s="105">
        <v>6.2677101527278914E-2</v>
      </c>
      <c r="L62" s="105">
        <v>6.3218114185429497E-2</v>
      </c>
      <c r="M62" s="105">
        <v>6.8245661167754795E-2</v>
      </c>
      <c r="N62" s="105">
        <v>6.9617473464612917E-2</v>
      </c>
      <c r="O62" s="105">
        <v>7.2321121187803802E-2</v>
      </c>
      <c r="P62" s="105">
        <v>6.6317897095229755E-2</v>
      </c>
      <c r="Q62" s="105">
        <v>6.6761236084532369E-2</v>
      </c>
    </row>
    <row r="63" spans="1:17">
      <c r="A63" s="2" t="s">
        <v>261</v>
      </c>
      <c r="F63" s="105"/>
      <c r="G63" s="105"/>
      <c r="H63" s="105"/>
      <c r="I63" s="105">
        <v>8.8948606200144359E-2</v>
      </c>
      <c r="J63" s="105">
        <v>8.4235328909512297E-2</v>
      </c>
      <c r="K63" s="105">
        <v>8.4592973858649265E-2</v>
      </c>
      <c r="L63" s="105">
        <v>8.4995860479566254E-2</v>
      </c>
      <c r="M63" s="105">
        <v>8.2054473851529058E-2</v>
      </c>
      <c r="N63" s="105">
        <v>7.1439522351777807E-2</v>
      </c>
      <c r="O63" s="105">
        <v>6.9437174473130955E-2</v>
      </c>
      <c r="P63" s="105">
        <v>7.2560047930402077E-2</v>
      </c>
      <c r="Q63" s="105">
        <v>7.5998921488735785E-2</v>
      </c>
    </row>
    <row r="64" spans="1:17">
      <c r="F64" s="105"/>
      <c r="G64" s="105"/>
      <c r="H64" s="105"/>
      <c r="I64" s="105"/>
      <c r="J64" s="105"/>
      <c r="K64" s="105"/>
      <c r="L64" s="105"/>
      <c r="M64" s="105"/>
      <c r="N64" s="105"/>
      <c r="O64" s="105"/>
    </row>
    <row r="65" spans="1:17">
      <c r="A65" s="6" t="s">
        <v>159</v>
      </c>
      <c r="B65" s="103"/>
      <c r="C65" s="103"/>
      <c r="D65" s="103"/>
      <c r="E65" s="103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</row>
    <row r="66" spans="1:17">
      <c r="A66" s="95" t="s">
        <v>159</v>
      </c>
      <c r="B66" s="95"/>
      <c r="C66" s="95"/>
      <c r="D66" s="95"/>
      <c r="E66" s="95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5"/>
      <c r="Q66" s="105"/>
    </row>
    <row r="68" spans="1:17">
      <c r="A68" s="6" t="s">
        <v>92</v>
      </c>
      <c r="B68" s="103"/>
      <c r="C68" s="103"/>
      <c r="D68" s="103"/>
      <c r="E68" s="103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</row>
    <row r="69" spans="1:17" s="95" customFormat="1">
      <c r="A69" s="95" t="s">
        <v>92</v>
      </c>
      <c r="F69" s="107"/>
      <c r="G69" s="107"/>
      <c r="H69" s="107"/>
      <c r="I69" s="107">
        <v>5.6117228157412824E-2</v>
      </c>
      <c r="J69" s="107">
        <v>5.6467385087295575E-2</v>
      </c>
      <c r="K69" s="107">
        <v>5.2958439406164279E-2</v>
      </c>
      <c r="L69" s="107">
        <v>4.9450531877999845E-2</v>
      </c>
      <c r="M69" s="107">
        <v>4.8290170512772061E-2</v>
      </c>
      <c r="N69" s="107">
        <v>4.4623715963367422E-2</v>
      </c>
      <c r="O69" s="107">
        <v>4.3146781660659377E-2</v>
      </c>
      <c r="P69" s="107">
        <v>4.2224673875873482E-2</v>
      </c>
      <c r="Q69" s="107">
        <v>4.0238777848369142E-2</v>
      </c>
    </row>
    <row r="71" spans="1:17">
      <c r="A71" s="6" t="s">
        <v>160</v>
      </c>
      <c r="B71" s="103"/>
      <c r="C71" s="103"/>
      <c r="D71" s="103"/>
      <c r="E71" s="103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</row>
    <row r="72" spans="1:17">
      <c r="A72" s="95" t="s">
        <v>160</v>
      </c>
      <c r="B72" s="95"/>
      <c r="C72" s="95"/>
      <c r="D72" s="95"/>
      <c r="E72" s="95"/>
      <c r="F72" s="107"/>
      <c r="G72" s="107"/>
      <c r="H72" s="107"/>
      <c r="I72" s="107">
        <v>3.2831378042731521E-2</v>
      </c>
      <c r="J72" s="107">
        <v>2.7767943822216732E-2</v>
      </c>
      <c r="K72" s="107">
        <v>3.1634534452484986E-2</v>
      </c>
      <c r="L72" s="107">
        <v>3.554532860156643E-2</v>
      </c>
      <c r="M72" s="107">
        <v>3.3764303338756997E-2</v>
      </c>
      <c r="N72" s="107">
        <v>2.6815806388410357E-2</v>
      </c>
      <c r="O72" s="107">
        <v>2.6290392812471593E-2</v>
      </c>
      <c r="P72" s="107">
        <v>3.0335374054528599E-2</v>
      </c>
      <c r="Q72" s="105">
        <v>3.5760143640366643E-2</v>
      </c>
    </row>
    <row r="74" spans="1:17">
      <c r="A74" s="6" t="s">
        <v>161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</row>
    <row r="75" spans="1:17">
      <c r="A75" s="2" t="s">
        <v>162</v>
      </c>
      <c r="F75" s="105"/>
      <c r="G75" s="105"/>
      <c r="H75" s="105"/>
      <c r="I75" s="105">
        <v>1.9290628219713474E-2</v>
      </c>
      <c r="J75" s="105">
        <v>7.9303299948512082E-3</v>
      </c>
      <c r="K75" s="105">
        <v>1.9292228127402881E-2</v>
      </c>
      <c r="L75" s="105">
        <v>1.3725710984556827E-2</v>
      </c>
      <c r="M75" s="105">
        <v>1.5161181928600161E-2</v>
      </c>
      <c r="N75" s="105">
        <v>1.5873488103485798E-2</v>
      </c>
      <c r="O75" s="105">
        <v>1.7180972188087285E-2</v>
      </c>
      <c r="P75" s="105">
        <v>2.0992578022344062E-2</v>
      </c>
      <c r="Q75" s="105">
        <v>2.0370865252923562E-2</v>
      </c>
    </row>
    <row r="76" spans="1:17">
      <c r="A76" s="2" t="s">
        <v>163</v>
      </c>
      <c r="F76" s="105"/>
      <c r="G76" s="105"/>
      <c r="H76" s="105"/>
      <c r="I76" s="105">
        <v>-1.4986922866467628E-2</v>
      </c>
      <c r="J76" s="105">
        <v>-5.8047818543043445E-3</v>
      </c>
      <c r="K76" s="105">
        <v>-1.0272511176038798E-2</v>
      </c>
      <c r="L76" s="105">
        <v>-5.0117602118467403E-3</v>
      </c>
      <c r="M76" s="105">
        <v>-2.9946523905640052E-3</v>
      </c>
      <c r="N76" s="105">
        <v>-3.7283613162256198E-3</v>
      </c>
      <c r="O76" s="105">
        <v>-2.4067755097053321E-3</v>
      </c>
      <c r="P76" s="105">
        <v>-3.4915894960621521E-3</v>
      </c>
      <c r="Q76" s="105">
        <v>-2.3552276816024812E-3</v>
      </c>
    </row>
    <row r="77" spans="1:17">
      <c r="A77" s="2" t="s">
        <v>164</v>
      </c>
      <c r="F77" s="105"/>
      <c r="G77" s="105"/>
      <c r="H77" s="105"/>
      <c r="I77" s="105">
        <v>4.4090767644829765E-3</v>
      </c>
      <c r="J77" s="105">
        <v>2.3059360442938656E-3</v>
      </c>
      <c r="K77" s="105">
        <v>8.9956102272062081E-3</v>
      </c>
      <c r="L77" s="105">
        <v>8.907497729746916E-3</v>
      </c>
      <c r="M77" s="105">
        <v>1.2067638543627409E-2</v>
      </c>
      <c r="N77" s="105">
        <v>1.2191696253330197E-2</v>
      </c>
      <c r="O77" s="105">
        <v>1.4804412099709537E-2</v>
      </c>
      <c r="P77" s="105">
        <v>1.7459723939411139E-2</v>
      </c>
      <c r="Q77" s="105">
        <v>1.8050522799061632E-2</v>
      </c>
    </row>
    <row r="79" spans="1:17">
      <c r="A79" s="6" t="s">
        <v>188</v>
      </c>
      <c r="B79" s="103"/>
      <c r="C79" s="103"/>
      <c r="D79" s="103"/>
      <c r="E79" s="103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</row>
    <row r="80" spans="1:17">
      <c r="A80" s="95" t="s">
        <v>188</v>
      </c>
      <c r="B80" s="107">
        <f>('Asset quality '!B8+'Asset quality '!B29)/('Asset quality '!B11+'Asset quality '!B32)</f>
        <v>1.8288792220202962E-2</v>
      </c>
      <c r="C80" s="107">
        <f>('Asset quality '!C8+'Asset quality '!C29)/('Asset quality '!C11+'Asset quality '!C32)</f>
        <v>3.1767724231948928E-3</v>
      </c>
      <c r="D80" s="107">
        <f>('Asset quality '!D8+'Asset quality '!D29)/('Asset quality '!D11+'Asset quality '!D32)</f>
        <v>7.5146147118417585E-3</v>
      </c>
      <c r="E80" s="107">
        <f>('Asset quality '!E8+'Asset quality '!E29)/('Asset quality '!E11+'Asset quality '!E32)</f>
        <v>1.0631627729465964E-2</v>
      </c>
      <c r="F80" s="107">
        <f>('Asset quality '!F8+'Asset quality '!F29)/('Asset quality '!F11+'Asset quality '!F32)</f>
        <v>1.3449561679644301E-2</v>
      </c>
      <c r="G80" s="107">
        <f>('Asset quality '!G8+'Asset quality '!G29)/('Asset quality '!G11+'Asset quality '!G32)</f>
        <v>1.4551952892972786E-2</v>
      </c>
      <c r="H80" s="107">
        <f>('Asset quality '!H8+'Asset quality '!H29)/('Asset quality '!H11+'Asset quality '!H32)</f>
        <v>1.6611659257310788E-2</v>
      </c>
      <c r="I80" s="107">
        <f>('Asset quality '!I8+'Asset quality '!I29)/('Asset quality '!I11+'Asset quality '!I32)</f>
        <v>1.5038962020159403E-2</v>
      </c>
      <c r="J80" s="107">
        <f>('Asset quality '!J8+'Asset quality '!J29)/('Asset quality '!J11+'Asset quality '!J32)</f>
        <v>1.6282081697915788E-2</v>
      </c>
      <c r="K80" s="107">
        <f>('Asset quality '!K8+'Asset quality '!K29)/('Asset quality '!K11+'Asset quality '!K32)</f>
        <v>1.5560428408577381E-2</v>
      </c>
      <c r="L80" s="107">
        <f>('Asset quality '!L8+'Asset quality '!L29)/('Asset quality '!L11+'Asset quality '!L32)</f>
        <v>1.4282416968684942E-2</v>
      </c>
      <c r="M80" s="107">
        <f>('Asset quality '!M8+'Asset quality '!M29)/('Asset quality '!M11+'Asset quality '!M32)</f>
        <v>1.1977113220682616E-2</v>
      </c>
      <c r="N80" s="107">
        <f>('Asset quality '!N8+'Asset quality '!N29)/('Asset quality '!N11+'Asset quality '!N32)</f>
        <v>1.3732111576651036E-2</v>
      </c>
      <c r="O80" s="107">
        <f>('Asset quality '!O8+'Asset quality '!O29)/('Asset quality '!O11+'Asset quality '!O32)</f>
        <v>1.4963550227919642E-2</v>
      </c>
      <c r="P80" s="107">
        <f>('Asset quality '!P8+'Asset quality '!P29)/('Asset quality '!P11+'Asset quality '!P32)</f>
        <v>1.6179082720893065E-2</v>
      </c>
      <c r="Q80" s="107">
        <f>('Asset quality '!Q8+'Asset quality '!Q29)/('Asset quality '!Q11+'Asset quality '!Q32)</f>
        <v>1.6308550928452764E-2</v>
      </c>
    </row>
    <row r="82" spans="1:17">
      <c r="A82" s="6" t="s">
        <v>95</v>
      </c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</row>
    <row r="83" spans="1:17">
      <c r="A83" s="2" t="s">
        <v>165</v>
      </c>
      <c r="F83" s="105"/>
      <c r="G83" s="105"/>
      <c r="H83" s="105"/>
      <c r="I83" s="105">
        <v>2.8422301278248543E-2</v>
      </c>
      <c r="J83" s="105">
        <v>2.546200777792287E-2</v>
      </c>
      <c r="K83" s="105">
        <v>2.263892422527878E-2</v>
      </c>
      <c r="L83" s="105">
        <v>2.663783087181951E-2</v>
      </c>
      <c r="M83" s="105">
        <v>2.1696664795129588E-2</v>
      </c>
      <c r="N83" s="105">
        <v>1.4624110135080162E-2</v>
      </c>
      <c r="O83" s="105">
        <v>1.1485980712762052E-2</v>
      </c>
      <c r="P83" s="105">
        <v>1.2875650115117458E-2</v>
      </c>
      <c r="Q83" s="105">
        <v>1.7709620841305011E-2</v>
      </c>
    </row>
    <row r="84" spans="1:17">
      <c r="A84" s="2" t="s">
        <v>163</v>
      </c>
      <c r="F84" s="105"/>
      <c r="G84" s="105"/>
      <c r="H84" s="105"/>
      <c r="I84" s="105">
        <v>1.4986922866467601E-2</v>
      </c>
      <c r="J84" s="105">
        <v>5.8047818543043401E-3</v>
      </c>
      <c r="K84" s="105">
        <v>1.02725111760388E-2</v>
      </c>
      <c r="L84" s="105">
        <v>5.0117602118467403E-3</v>
      </c>
      <c r="M84" s="105">
        <v>2.9946523905640099E-3</v>
      </c>
      <c r="N84" s="105">
        <v>3.7283613162256198E-3</v>
      </c>
      <c r="O84" s="105">
        <v>2.4067755097053299E-3</v>
      </c>
      <c r="P84" s="105">
        <v>3.4915894960621499E-3</v>
      </c>
      <c r="Q84" s="105">
        <v>2.3552276816024799E-3</v>
      </c>
    </row>
    <row r="85" spans="1:17">
      <c r="A85" s="2" t="s">
        <v>166</v>
      </c>
      <c r="F85" s="102"/>
      <c r="G85" s="102"/>
      <c r="H85" s="102"/>
      <c r="I85" s="102">
        <f t="shared" ref="I85:Q85" si="39">I83-I84</f>
        <v>1.3435378411780942E-2</v>
      </c>
      <c r="J85" s="102">
        <f t="shared" si="39"/>
        <v>1.9657225923618529E-2</v>
      </c>
      <c r="K85" s="102">
        <f t="shared" si="39"/>
        <v>1.236641304923998E-2</v>
      </c>
      <c r="L85" s="102">
        <f t="shared" si="39"/>
        <v>2.1626070659972768E-2</v>
      </c>
      <c r="M85" s="102">
        <f t="shared" si="39"/>
        <v>1.8702012404565579E-2</v>
      </c>
      <c r="N85" s="102">
        <f t="shared" si="39"/>
        <v>1.0895748818854542E-2</v>
      </c>
      <c r="O85" s="102">
        <f t="shared" si="39"/>
        <v>9.0792052030567224E-3</v>
      </c>
      <c r="P85" s="102">
        <f t="shared" si="39"/>
        <v>9.3840606190553084E-3</v>
      </c>
      <c r="Q85" s="102">
        <f t="shared" si="39"/>
        <v>1.535439315970253E-2</v>
      </c>
    </row>
    <row r="86" spans="1:17"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spans="1:17" s="95" customFormat="1">
      <c r="A87" s="94" t="s">
        <v>147</v>
      </c>
      <c r="B87" s="18"/>
      <c r="C87" s="18"/>
      <c r="D87" s="18"/>
      <c r="E87" s="18"/>
      <c r="F87" s="18"/>
      <c r="G87" s="18"/>
      <c r="H87" s="18"/>
      <c r="I87" s="18" t="s">
        <v>1</v>
      </c>
      <c r="J87" s="18" t="s">
        <v>244</v>
      </c>
      <c r="K87" s="18" t="s">
        <v>245</v>
      </c>
      <c r="L87" s="18" t="s">
        <v>246</v>
      </c>
      <c r="M87" s="18" t="s">
        <v>247</v>
      </c>
      <c r="N87" s="18" t="s">
        <v>248</v>
      </c>
      <c r="O87" s="18" t="s">
        <v>249</v>
      </c>
      <c r="P87" s="18" t="s">
        <v>250</v>
      </c>
      <c r="Q87" s="18" t="s">
        <v>262</v>
      </c>
    </row>
    <row r="88" spans="1:17">
      <c r="A88" s="6" t="str">
        <f>A60</f>
        <v>Net total income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</row>
    <row r="89" spans="1:17">
      <c r="A89" s="2" t="str">
        <f>A61</f>
        <v>Total income</v>
      </c>
      <c r="D89" s="93"/>
      <c r="F89" s="105"/>
      <c r="G89" s="105"/>
      <c r="H89" s="105"/>
      <c r="I89" s="105">
        <f>I61</f>
        <v>0.15066960015419045</v>
      </c>
      <c r="J89" s="105">
        <f t="shared" ref="J89:Q89" si="40">J61</f>
        <v>0.1477195557118694</v>
      </c>
      <c r="K89" s="105">
        <f t="shared" si="40"/>
        <v>0.14727007538592818</v>
      </c>
      <c r="L89" s="105">
        <f t="shared" si="40"/>
        <v>0.14821397466499575</v>
      </c>
      <c r="M89" s="105">
        <f t="shared" si="40"/>
        <v>0.15030013501928385</v>
      </c>
      <c r="N89" s="105">
        <f t="shared" si="40"/>
        <v>0.14105699581639072</v>
      </c>
      <c r="O89" s="105">
        <f t="shared" si="40"/>
        <v>0.14175829566093476</v>
      </c>
      <c r="P89" s="105">
        <f t="shared" si="40"/>
        <v>0.13887794502563183</v>
      </c>
      <c r="Q89" s="105">
        <f t="shared" si="40"/>
        <v>0.14276015757326815</v>
      </c>
    </row>
    <row r="90" spans="1:17">
      <c r="A90" s="2" t="str">
        <f>A62</f>
        <v>Cost of funds</v>
      </c>
      <c r="D90" s="93"/>
      <c r="F90" s="105"/>
      <c r="G90" s="105"/>
      <c r="H90" s="105"/>
      <c r="I90" s="105">
        <f>I62</f>
        <v>6.1720993954046087E-2</v>
      </c>
      <c r="J90" s="105">
        <f t="shared" ref="J90:Q90" si="41">J62</f>
        <v>6.3484226802357102E-2</v>
      </c>
      <c r="K90" s="105">
        <f t="shared" si="41"/>
        <v>6.2677101527278914E-2</v>
      </c>
      <c r="L90" s="105">
        <f t="shared" si="41"/>
        <v>6.3218114185429497E-2</v>
      </c>
      <c r="M90" s="105">
        <f t="shared" si="41"/>
        <v>6.8245661167754795E-2</v>
      </c>
      <c r="N90" s="105">
        <f t="shared" si="41"/>
        <v>6.9617473464612917E-2</v>
      </c>
      <c r="O90" s="105">
        <f t="shared" si="41"/>
        <v>7.2321121187803802E-2</v>
      </c>
      <c r="P90" s="105">
        <f t="shared" si="41"/>
        <v>6.6317897095229755E-2</v>
      </c>
      <c r="Q90" s="105">
        <f t="shared" si="41"/>
        <v>6.6761236084532369E-2</v>
      </c>
    </row>
    <row r="91" spans="1:17">
      <c r="A91" s="2" t="str">
        <f>A63</f>
        <v>Net total income</v>
      </c>
      <c r="F91" s="105"/>
      <c r="G91" s="105"/>
      <c r="H91" s="105"/>
      <c r="I91" s="105">
        <f>I63</f>
        <v>8.8948606200144359E-2</v>
      </c>
      <c r="J91" s="105">
        <f t="shared" ref="J91:Q91" si="42">J63</f>
        <v>8.4235328909512297E-2</v>
      </c>
      <c r="K91" s="105">
        <f t="shared" si="42"/>
        <v>8.4592973858649265E-2</v>
      </c>
      <c r="L91" s="105">
        <f t="shared" si="42"/>
        <v>8.4995860479566254E-2</v>
      </c>
      <c r="M91" s="105">
        <f t="shared" si="42"/>
        <v>8.2054473851529058E-2</v>
      </c>
      <c r="N91" s="105">
        <f t="shared" si="42"/>
        <v>7.1439522351777807E-2</v>
      </c>
      <c r="O91" s="105">
        <f t="shared" si="42"/>
        <v>6.9437174473130955E-2</v>
      </c>
      <c r="P91" s="105">
        <f t="shared" si="42"/>
        <v>7.2560047930402077E-2</v>
      </c>
      <c r="Q91" s="105">
        <f t="shared" si="42"/>
        <v>7.5998921488735785E-2</v>
      </c>
    </row>
    <row r="92" spans="1:17">
      <c r="F92" s="105"/>
      <c r="G92" s="105"/>
      <c r="H92" s="105"/>
      <c r="I92" s="105"/>
      <c r="J92" s="105"/>
      <c r="K92" s="105"/>
      <c r="L92" s="105"/>
      <c r="M92" s="105"/>
      <c r="N92" s="105"/>
      <c r="O92" s="105"/>
    </row>
    <row r="93" spans="1:17">
      <c r="A93" s="6" t="s">
        <v>159</v>
      </c>
      <c r="B93" s="103"/>
      <c r="C93" s="103"/>
      <c r="D93" s="103"/>
      <c r="E93" s="103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</row>
    <row r="94" spans="1:17">
      <c r="A94" s="95" t="s">
        <v>159</v>
      </c>
      <c r="B94" s="95"/>
      <c r="C94" s="95"/>
      <c r="D94" s="95"/>
      <c r="E94" s="95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</row>
    <row r="96" spans="1:17">
      <c r="A96" s="6" t="s">
        <v>92</v>
      </c>
      <c r="B96" s="103"/>
      <c r="C96" s="103"/>
      <c r="D96" s="103"/>
      <c r="E96" s="103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</row>
    <row r="97" spans="1:17" s="95" customFormat="1">
      <c r="A97" s="95" t="s">
        <v>92</v>
      </c>
      <c r="F97" s="107"/>
      <c r="G97" s="107"/>
      <c r="H97" s="107"/>
      <c r="I97" s="107">
        <f t="shared" ref="I97:Q97" si="43">I69</f>
        <v>5.6117228157412824E-2</v>
      </c>
      <c r="J97" s="107">
        <f t="shared" si="43"/>
        <v>5.6467385087295575E-2</v>
      </c>
      <c r="K97" s="107">
        <f t="shared" si="43"/>
        <v>5.2958439406164279E-2</v>
      </c>
      <c r="L97" s="107">
        <f t="shared" si="43"/>
        <v>4.9450531877999845E-2</v>
      </c>
      <c r="M97" s="107">
        <f t="shared" si="43"/>
        <v>4.8290170512772061E-2</v>
      </c>
      <c r="N97" s="107">
        <f t="shared" si="43"/>
        <v>4.4623715963367422E-2</v>
      </c>
      <c r="O97" s="107">
        <f t="shared" si="43"/>
        <v>4.3146781660659377E-2</v>
      </c>
      <c r="P97" s="107">
        <f t="shared" si="43"/>
        <v>4.2224673875873482E-2</v>
      </c>
      <c r="Q97" s="107">
        <f t="shared" si="43"/>
        <v>4.0238777848369142E-2</v>
      </c>
    </row>
    <row r="99" spans="1:17">
      <c r="A99" s="6" t="s">
        <v>160</v>
      </c>
      <c r="B99" s="103"/>
      <c r="C99" s="103"/>
      <c r="D99" s="103"/>
      <c r="E99" s="103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</row>
    <row r="100" spans="1:17">
      <c r="A100" s="95" t="s">
        <v>160</v>
      </c>
      <c r="B100" s="95"/>
      <c r="C100" s="95"/>
      <c r="D100" s="95"/>
      <c r="E100" s="95"/>
      <c r="F100" s="107"/>
      <c r="G100" s="107"/>
      <c r="H100" s="107"/>
      <c r="I100" s="107">
        <f>I72</f>
        <v>3.2831378042731521E-2</v>
      </c>
      <c r="J100" s="107">
        <f t="shared" ref="J100:Q100" si="44">J72</f>
        <v>2.7767943822216732E-2</v>
      </c>
      <c r="K100" s="107">
        <f t="shared" si="44"/>
        <v>3.1634534452484986E-2</v>
      </c>
      <c r="L100" s="107">
        <f t="shared" si="44"/>
        <v>3.554532860156643E-2</v>
      </c>
      <c r="M100" s="107">
        <f t="shared" si="44"/>
        <v>3.3764303338756997E-2</v>
      </c>
      <c r="N100" s="107">
        <f t="shared" si="44"/>
        <v>2.6815806388410357E-2</v>
      </c>
      <c r="O100" s="107">
        <f t="shared" si="44"/>
        <v>2.6290392812471593E-2</v>
      </c>
      <c r="P100" s="107">
        <f t="shared" si="44"/>
        <v>3.0335374054528599E-2</v>
      </c>
      <c r="Q100" s="107">
        <f t="shared" si="44"/>
        <v>3.5760143640366643E-2</v>
      </c>
    </row>
    <row r="102" spans="1:17">
      <c r="A102" s="6" t="s">
        <v>161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</row>
    <row r="103" spans="1:17">
      <c r="A103" s="2" t="s">
        <v>162</v>
      </c>
      <c r="F103" s="105"/>
      <c r="G103" s="105"/>
      <c r="H103" s="105"/>
      <c r="I103" s="105">
        <f>I75</f>
        <v>1.9290628219713474E-2</v>
      </c>
      <c r="J103" s="105">
        <f t="shared" ref="J103:Q103" si="45">J75</f>
        <v>7.9303299948512082E-3</v>
      </c>
      <c r="K103" s="105">
        <f t="shared" si="45"/>
        <v>1.9292228127402881E-2</v>
      </c>
      <c r="L103" s="105">
        <f t="shared" si="45"/>
        <v>1.3725710984556827E-2</v>
      </c>
      <c r="M103" s="105">
        <f t="shared" si="45"/>
        <v>1.5161181928600161E-2</v>
      </c>
      <c r="N103" s="105">
        <f t="shared" si="45"/>
        <v>1.5873488103485798E-2</v>
      </c>
      <c r="O103" s="105">
        <f t="shared" si="45"/>
        <v>1.7180972188087285E-2</v>
      </c>
      <c r="P103" s="105">
        <f t="shared" si="45"/>
        <v>2.0992578022344062E-2</v>
      </c>
      <c r="Q103" s="105">
        <f t="shared" si="45"/>
        <v>2.0370865252923562E-2</v>
      </c>
    </row>
    <row r="104" spans="1:17">
      <c r="A104" s="2" t="s">
        <v>163</v>
      </c>
      <c r="F104" s="105"/>
      <c r="G104" s="105"/>
      <c r="H104" s="105"/>
      <c r="I104" s="105">
        <f>I76</f>
        <v>-1.4986922866467628E-2</v>
      </c>
      <c r="J104" s="105">
        <f t="shared" ref="J104:Q104" si="46">J76</f>
        <v>-5.8047818543043445E-3</v>
      </c>
      <c r="K104" s="105">
        <f t="shared" si="46"/>
        <v>-1.0272511176038798E-2</v>
      </c>
      <c r="L104" s="105">
        <f t="shared" si="46"/>
        <v>-5.0117602118467403E-3</v>
      </c>
      <c r="M104" s="105">
        <f t="shared" si="46"/>
        <v>-2.9946523905640052E-3</v>
      </c>
      <c r="N104" s="105">
        <f t="shared" si="46"/>
        <v>-3.7283613162256198E-3</v>
      </c>
      <c r="O104" s="105">
        <f t="shared" si="46"/>
        <v>-2.4067755097053321E-3</v>
      </c>
      <c r="P104" s="105">
        <f t="shared" si="46"/>
        <v>-3.4915894960621521E-3</v>
      </c>
      <c r="Q104" s="105">
        <f t="shared" si="46"/>
        <v>-2.3552276816024812E-3</v>
      </c>
    </row>
    <row r="105" spans="1:17">
      <c r="A105" s="2" t="s">
        <v>164</v>
      </c>
      <c r="F105" s="105"/>
      <c r="G105" s="105"/>
      <c r="H105" s="105"/>
      <c r="I105" s="105">
        <f>I77</f>
        <v>4.4090767644829765E-3</v>
      </c>
      <c r="J105" s="105">
        <f t="shared" ref="J105:Q105" si="47">J77</f>
        <v>2.3059360442938656E-3</v>
      </c>
      <c r="K105" s="105">
        <f t="shared" si="47"/>
        <v>8.9956102272062081E-3</v>
      </c>
      <c r="L105" s="105">
        <f t="shared" si="47"/>
        <v>8.907497729746916E-3</v>
      </c>
      <c r="M105" s="105">
        <f t="shared" si="47"/>
        <v>1.2067638543627409E-2</v>
      </c>
      <c r="N105" s="105">
        <f t="shared" si="47"/>
        <v>1.2191696253330197E-2</v>
      </c>
      <c r="O105" s="105">
        <f t="shared" si="47"/>
        <v>1.4804412099709537E-2</v>
      </c>
      <c r="P105" s="105">
        <f t="shared" si="47"/>
        <v>1.7459723939411139E-2</v>
      </c>
      <c r="Q105" s="105">
        <f t="shared" si="47"/>
        <v>1.8050522799061632E-2</v>
      </c>
    </row>
    <row r="107" spans="1:17">
      <c r="A107" s="6" t="s">
        <v>188</v>
      </c>
      <c r="B107" s="103"/>
      <c r="C107" s="103"/>
      <c r="D107" s="103"/>
      <c r="E107" s="103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</row>
    <row r="108" spans="1:17">
      <c r="A108" s="95" t="s">
        <v>188</v>
      </c>
      <c r="B108" s="107"/>
      <c r="C108" s="107"/>
      <c r="D108" s="107"/>
      <c r="E108" s="107"/>
      <c r="F108" s="107"/>
      <c r="G108" s="107"/>
      <c r="H108" s="107"/>
      <c r="I108" s="107">
        <f>I80</f>
        <v>1.5038962020159403E-2</v>
      </c>
      <c r="J108" s="107">
        <f t="shared" ref="J108:Q108" si="48">J80</f>
        <v>1.6282081697915788E-2</v>
      </c>
      <c r="K108" s="107">
        <f t="shared" si="48"/>
        <v>1.5560428408577381E-2</v>
      </c>
      <c r="L108" s="107">
        <f t="shared" si="48"/>
        <v>1.4282416968684942E-2</v>
      </c>
      <c r="M108" s="107">
        <f t="shared" si="48"/>
        <v>1.1977113220682616E-2</v>
      </c>
      <c r="N108" s="107">
        <f t="shared" si="48"/>
        <v>1.3732111576651036E-2</v>
      </c>
      <c r="O108" s="107">
        <f t="shared" si="48"/>
        <v>1.4963550227919642E-2</v>
      </c>
      <c r="P108" s="107">
        <f t="shared" si="48"/>
        <v>1.6179082720893065E-2</v>
      </c>
      <c r="Q108" s="107">
        <f t="shared" si="48"/>
        <v>1.6308550928452764E-2</v>
      </c>
    </row>
    <row r="110" spans="1:17">
      <c r="A110" s="6" t="s">
        <v>95</v>
      </c>
      <c r="B110" s="103"/>
      <c r="C110" s="103"/>
      <c r="D110" s="103"/>
      <c r="E110" s="103"/>
      <c r="F110" s="103"/>
      <c r="G110" s="103"/>
      <c r="H110" s="103"/>
      <c r="I110" s="60" t="s">
        <v>1</v>
      </c>
      <c r="J110" s="60" t="s">
        <v>244</v>
      </c>
      <c r="K110" s="60" t="s">
        <v>245</v>
      </c>
      <c r="L110" s="60" t="s">
        <v>246</v>
      </c>
      <c r="M110" s="60" t="s">
        <v>247</v>
      </c>
      <c r="N110" s="60" t="s">
        <v>248</v>
      </c>
      <c r="O110" s="60" t="s">
        <v>249</v>
      </c>
      <c r="P110" s="60" t="s">
        <v>250</v>
      </c>
      <c r="Q110" s="60" t="s">
        <v>262</v>
      </c>
    </row>
    <row r="111" spans="1:17">
      <c r="A111" s="2" t="s">
        <v>165</v>
      </c>
      <c r="F111" s="105"/>
      <c r="G111" s="105"/>
      <c r="H111" s="105"/>
      <c r="I111" s="105">
        <f>I83</f>
        <v>2.8422301278248543E-2</v>
      </c>
      <c r="J111" s="105">
        <f t="shared" ref="J111:Q111" si="49">J83</f>
        <v>2.546200777792287E-2</v>
      </c>
      <c r="K111" s="105">
        <f t="shared" si="49"/>
        <v>2.263892422527878E-2</v>
      </c>
      <c r="L111" s="105">
        <f t="shared" si="49"/>
        <v>2.663783087181951E-2</v>
      </c>
      <c r="M111" s="105">
        <f t="shared" si="49"/>
        <v>2.1696664795129588E-2</v>
      </c>
      <c r="N111" s="105">
        <f t="shared" si="49"/>
        <v>1.4624110135080162E-2</v>
      </c>
      <c r="O111" s="105">
        <f t="shared" si="49"/>
        <v>1.1485980712762052E-2</v>
      </c>
      <c r="P111" s="105">
        <f t="shared" si="49"/>
        <v>1.2875650115117458E-2</v>
      </c>
      <c r="Q111" s="105">
        <f t="shared" si="49"/>
        <v>1.7709620841305011E-2</v>
      </c>
    </row>
    <row r="112" spans="1:17">
      <c r="A112" s="2" t="s">
        <v>163</v>
      </c>
      <c r="F112" s="105"/>
      <c r="G112" s="105"/>
      <c r="H112" s="105"/>
      <c r="I112" s="105">
        <f>I84</f>
        <v>1.4986922866467601E-2</v>
      </c>
      <c r="J112" s="105">
        <f t="shared" ref="J112:Q112" si="50">J84</f>
        <v>5.8047818543043401E-3</v>
      </c>
      <c r="K112" s="105">
        <f t="shared" si="50"/>
        <v>1.02725111760388E-2</v>
      </c>
      <c r="L112" s="105">
        <f t="shared" si="50"/>
        <v>5.0117602118467403E-3</v>
      </c>
      <c r="M112" s="105">
        <f t="shared" si="50"/>
        <v>2.9946523905640099E-3</v>
      </c>
      <c r="N112" s="105">
        <f t="shared" si="50"/>
        <v>3.7283613162256198E-3</v>
      </c>
      <c r="O112" s="105">
        <f t="shared" si="50"/>
        <v>2.4067755097053299E-3</v>
      </c>
      <c r="P112" s="105">
        <f t="shared" si="50"/>
        <v>3.4915894960621499E-3</v>
      </c>
      <c r="Q112" s="105">
        <f t="shared" si="50"/>
        <v>2.3552276816024799E-3</v>
      </c>
    </row>
    <row r="113" spans="1:17">
      <c r="A113" s="2" t="s">
        <v>166</v>
      </c>
      <c r="F113" s="102"/>
      <c r="G113" s="102"/>
      <c r="H113" s="102"/>
      <c r="I113" s="105">
        <f>I85</f>
        <v>1.3435378411780942E-2</v>
      </c>
      <c r="J113" s="105">
        <f t="shared" ref="J113:Q113" si="51">J85</f>
        <v>1.9657225923618529E-2</v>
      </c>
      <c r="K113" s="105">
        <f t="shared" si="51"/>
        <v>1.236641304923998E-2</v>
      </c>
      <c r="L113" s="105">
        <f t="shared" si="51"/>
        <v>2.1626070659972768E-2</v>
      </c>
      <c r="M113" s="105">
        <f t="shared" si="51"/>
        <v>1.8702012404565579E-2</v>
      </c>
      <c r="N113" s="105">
        <f t="shared" si="51"/>
        <v>1.0895748818854542E-2</v>
      </c>
      <c r="O113" s="105">
        <f t="shared" si="51"/>
        <v>9.0792052030567224E-3</v>
      </c>
      <c r="P113" s="105">
        <f t="shared" si="51"/>
        <v>9.3840606190553084E-3</v>
      </c>
      <c r="Q113" s="105">
        <f t="shared" si="51"/>
        <v>1.535439315970253E-2</v>
      </c>
    </row>
    <row r="115" spans="1:17">
      <c r="I115" s="102"/>
    </row>
  </sheetData>
  <phoneticPr fontId="12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90" zoomScaleNormal="90" workbookViewId="0">
      <selection activeCell="Q135" sqref="Q135"/>
    </sheetView>
  </sheetViews>
  <sheetFormatPr defaultColWidth="8.6640625" defaultRowHeight="14.4"/>
  <cols>
    <col min="1" max="16384" width="8.664062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6">
      <c r="R8" s="112"/>
    </row>
    <row r="115" spans="1:15">
      <c r="A115" s="6" t="s">
        <v>236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J2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7" width="9.33203125" style="10" customWidth="1"/>
    <col min="18" max="18" width="8.6640625" style="10"/>
    <col min="19" max="21" width="9.33203125" style="10" customWidth="1"/>
    <col min="22" max="16384" width="8.6640625" style="10"/>
  </cols>
  <sheetData>
    <row r="1" spans="1:36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6"/>
      <c r="P1" s="166"/>
      <c r="Q1" s="158"/>
      <c r="R1" s="17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18"/>
      <c r="S2" s="18" t="s">
        <v>0</v>
      </c>
      <c r="T2" s="18" t="s">
        <v>1</v>
      </c>
      <c r="U2" s="18" t="s">
        <v>2</v>
      </c>
      <c r="V2" s="18" t="s">
        <v>15</v>
      </c>
    </row>
    <row r="3" spans="1:36" ht="17.25" customHeight="1">
      <c r="A3" s="20" t="s">
        <v>117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1"/>
      <c r="R3" s="23"/>
      <c r="S3" s="23"/>
      <c r="T3" s="23"/>
      <c r="U3" s="23"/>
      <c r="V3" s="23"/>
    </row>
    <row r="4" spans="1:36" ht="17.25" customHeight="1">
      <c r="A4" s="24" t="s">
        <v>27</v>
      </c>
      <c r="B4" s="25"/>
      <c r="C4" s="25"/>
      <c r="D4" s="25"/>
      <c r="E4" s="26"/>
      <c r="F4" s="25"/>
      <c r="G4" s="25"/>
      <c r="H4" s="25"/>
      <c r="I4" s="26"/>
      <c r="J4" s="25"/>
      <c r="K4" s="25"/>
      <c r="L4" s="25"/>
      <c r="M4" s="26"/>
      <c r="N4" s="25"/>
      <c r="O4" s="25"/>
      <c r="P4" s="25"/>
      <c r="Q4" s="25"/>
      <c r="R4" s="27"/>
      <c r="S4" s="25"/>
      <c r="T4" s="25"/>
      <c r="U4" s="25"/>
      <c r="V4" s="25"/>
    </row>
    <row r="5" spans="1:36" ht="17.25" customHeight="1">
      <c r="A5" s="28" t="s">
        <v>35</v>
      </c>
      <c r="B5" s="9"/>
      <c r="C5" s="9"/>
      <c r="D5" s="9"/>
      <c r="E5" s="53"/>
      <c r="F5" s="9"/>
      <c r="G5" s="9">
        <v>6984</v>
      </c>
      <c r="H5" s="9">
        <v>6032.08</v>
      </c>
      <c r="I5" s="53">
        <v>7430.3</v>
      </c>
      <c r="J5" s="9">
        <v>9613</v>
      </c>
      <c r="K5" s="9">
        <v>6587.56</v>
      </c>
      <c r="L5" s="9">
        <v>6588</v>
      </c>
      <c r="M5" s="53">
        <v>6247</v>
      </c>
      <c r="N5" s="9">
        <v>5803</v>
      </c>
      <c r="O5" s="9">
        <v>6039.2380608175199</v>
      </c>
      <c r="P5" s="9">
        <v>8276.7000000000007</v>
      </c>
      <c r="Q5" s="9">
        <v>10083.57</v>
      </c>
      <c r="R5" s="9"/>
      <c r="S5" s="9">
        <v>8815</v>
      </c>
      <c r="T5" s="9">
        <f>I5</f>
        <v>7430.3</v>
      </c>
      <c r="U5" s="9">
        <f>M5</f>
        <v>6247</v>
      </c>
      <c r="V5" s="9">
        <f>Q5</f>
        <v>10083.57</v>
      </c>
    </row>
    <row r="6" spans="1:36" ht="17.25" customHeight="1">
      <c r="A6" s="29" t="s">
        <v>32</v>
      </c>
      <c r="B6" s="1">
        <v>47181</v>
      </c>
      <c r="C6" s="1">
        <v>66985</v>
      </c>
      <c r="D6" s="1">
        <f>(442480+215440)/10</f>
        <v>65792</v>
      </c>
      <c r="E6" s="30">
        <v>66119</v>
      </c>
      <c r="F6" s="1">
        <v>64590</v>
      </c>
      <c r="G6" s="1">
        <v>63780</v>
      </c>
      <c r="H6" s="1">
        <v>64867</v>
      </c>
      <c r="I6" s="30">
        <v>63989</v>
      </c>
      <c r="J6" s="1">
        <v>63938</v>
      </c>
      <c r="K6" s="1">
        <v>66320.600000000006</v>
      </c>
      <c r="L6" s="1">
        <v>66407</v>
      </c>
      <c r="M6" s="30">
        <v>67219</v>
      </c>
      <c r="N6" s="1">
        <v>68053</v>
      </c>
      <c r="O6" s="1">
        <v>70719.591585617178</v>
      </c>
      <c r="P6" s="1">
        <v>72810.938294011008</v>
      </c>
      <c r="Q6" s="1">
        <v>73684.558460122236</v>
      </c>
      <c r="R6" s="1"/>
      <c r="S6" s="1">
        <f>E6</f>
        <v>66119</v>
      </c>
      <c r="T6" s="1">
        <f t="shared" ref="T6:T13" si="0">I6</f>
        <v>63989</v>
      </c>
      <c r="U6" s="1">
        <f t="shared" ref="U6:U13" si="1">M6</f>
        <v>67219</v>
      </c>
      <c r="V6" s="1">
        <f t="shared" ref="V6:V18" si="2">Q6</f>
        <v>73684.558460122236</v>
      </c>
    </row>
    <row r="7" spans="1:36" ht="17.25" customHeight="1">
      <c r="A7" s="28" t="s">
        <v>36</v>
      </c>
      <c r="B7" s="9"/>
      <c r="C7" s="9"/>
      <c r="D7" s="9"/>
      <c r="E7" s="53"/>
      <c r="F7" s="9"/>
      <c r="G7" s="9">
        <v>5492</v>
      </c>
      <c r="H7" s="9">
        <v>6485</v>
      </c>
      <c r="I7" s="53">
        <v>3964</v>
      </c>
      <c r="J7" s="9">
        <v>2828</v>
      </c>
      <c r="K7" s="9">
        <v>2666.3</v>
      </c>
      <c r="L7" s="9">
        <v>2859</v>
      </c>
      <c r="M7" s="53">
        <v>3429</v>
      </c>
      <c r="N7" s="9">
        <v>2997</v>
      </c>
      <c r="O7" s="9">
        <v>3118.2691721228916</v>
      </c>
      <c r="P7" s="9">
        <v>3101.2948474216723</v>
      </c>
      <c r="Q7" s="9">
        <v>2042.4980806429828</v>
      </c>
      <c r="R7" s="9"/>
      <c r="S7" s="9">
        <v>3584</v>
      </c>
      <c r="T7" s="9">
        <f t="shared" si="0"/>
        <v>3964</v>
      </c>
      <c r="U7" s="9">
        <f t="shared" si="1"/>
        <v>3429</v>
      </c>
      <c r="V7" s="9">
        <f t="shared" si="2"/>
        <v>2042.4980806429828</v>
      </c>
    </row>
    <row r="8" spans="1:36" ht="17.25" customHeight="1">
      <c r="A8" s="29" t="s">
        <v>33</v>
      </c>
      <c r="B8" s="1"/>
      <c r="C8" s="1"/>
      <c r="D8" s="1"/>
      <c r="E8" s="30"/>
      <c r="F8" s="1"/>
      <c r="G8" s="1">
        <f t="shared" ref="G8:S8" si="3">G6-G7</f>
        <v>58288</v>
      </c>
      <c r="H8" s="1">
        <f t="shared" si="3"/>
        <v>58382</v>
      </c>
      <c r="I8" s="30">
        <f t="shared" si="3"/>
        <v>60025</v>
      </c>
      <c r="J8" s="1">
        <f t="shared" si="3"/>
        <v>61110</v>
      </c>
      <c r="K8" s="1">
        <f t="shared" si="3"/>
        <v>63654.3</v>
      </c>
      <c r="L8" s="1">
        <f t="shared" si="3"/>
        <v>63548</v>
      </c>
      <c r="M8" s="30">
        <f t="shared" si="3"/>
        <v>63790</v>
      </c>
      <c r="N8" s="1">
        <f t="shared" si="3"/>
        <v>65056</v>
      </c>
      <c r="O8" s="1">
        <f t="shared" si="3"/>
        <v>67601.322413494287</v>
      </c>
      <c r="P8" s="1">
        <f t="shared" ref="P8:Q8" si="4">P6-P7</f>
        <v>69709.64344658934</v>
      </c>
      <c r="Q8" s="1">
        <f t="shared" si="4"/>
        <v>71642.060379479255</v>
      </c>
      <c r="R8" s="1"/>
      <c r="S8" s="1">
        <f t="shared" si="3"/>
        <v>62535</v>
      </c>
      <c r="T8" s="1">
        <f t="shared" si="0"/>
        <v>60025</v>
      </c>
      <c r="U8" s="1">
        <f t="shared" si="1"/>
        <v>63790</v>
      </c>
      <c r="V8" s="1">
        <f t="shared" si="2"/>
        <v>71642.060379479255</v>
      </c>
    </row>
    <row r="9" spans="1:36" ht="17.25" customHeight="1">
      <c r="A9" s="28" t="s">
        <v>28</v>
      </c>
      <c r="B9" s="9"/>
      <c r="C9" s="9"/>
      <c r="D9" s="9"/>
      <c r="E9" s="53"/>
      <c r="F9" s="9"/>
      <c r="G9" s="9">
        <v>5436</v>
      </c>
      <c r="H9" s="9">
        <v>6586.4</v>
      </c>
      <c r="I9" s="53">
        <v>6211.4</v>
      </c>
      <c r="J9" s="9">
        <v>2278</v>
      </c>
      <c r="K9" s="9">
        <v>2277.54</v>
      </c>
      <c r="L9" s="9">
        <v>2278</v>
      </c>
      <c r="M9" s="53">
        <v>1708</v>
      </c>
      <c r="N9" s="9">
        <v>1708</v>
      </c>
      <c r="O9" s="9">
        <v>1708.34</v>
      </c>
      <c r="P9" s="9">
        <v>1708.34</v>
      </c>
      <c r="Q9" s="9">
        <v>1708.34</v>
      </c>
      <c r="R9" s="9"/>
      <c r="S9" s="9">
        <v>5094</v>
      </c>
      <c r="T9" s="9">
        <f t="shared" si="0"/>
        <v>6211.4</v>
      </c>
      <c r="U9" s="9">
        <f t="shared" si="1"/>
        <v>1708</v>
      </c>
      <c r="V9" s="9">
        <f t="shared" si="2"/>
        <v>1708.34</v>
      </c>
    </row>
    <row r="10" spans="1:36" ht="17.25" customHeight="1">
      <c r="A10" s="28" t="s">
        <v>29</v>
      </c>
      <c r="B10" s="9"/>
      <c r="C10" s="9"/>
      <c r="D10" s="9"/>
      <c r="E10" s="53"/>
      <c r="F10" s="9"/>
      <c r="G10" s="9">
        <v>2547</v>
      </c>
      <c r="H10" s="9">
        <v>2369</v>
      </c>
      <c r="I10" s="53">
        <v>2361.3000000000002</v>
      </c>
      <c r="J10" s="9">
        <v>2252</v>
      </c>
      <c r="K10" s="9">
        <v>2398</v>
      </c>
      <c r="L10" s="9">
        <v>2658</v>
      </c>
      <c r="M10" s="53">
        <v>2537</v>
      </c>
      <c r="N10" s="9">
        <v>3141</v>
      </c>
      <c r="O10" s="9">
        <v>3264.2690011793638</v>
      </c>
      <c r="P10" s="9">
        <v>3468.9545175411299</v>
      </c>
      <c r="Q10" s="9">
        <v>3405.182223183072</v>
      </c>
      <c r="R10" s="9"/>
      <c r="S10" s="9">
        <v>2607</v>
      </c>
      <c r="T10" s="9">
        <f t="shared" si="0"/>
        <v>2361.3000000000002</v>
      </c>
      <c r="U10" s="9">
        <f t="shared" si="1"/>
        <v>2537</v>
      </c>
      <c r="V10" s="9">
        <f t="shared" si="2"/>
        <v>3405.182223183072</v>
      </c>
    </row>
    <row r="11" spans="1:36" ht="17.25" customHeight="1">
      <c r="A11" s="28" t="s">
        <v>37</v>
      </c>
      <c r="B11" s="9"/>
      <c r="C11" s="9"/>
      <c r="D11" s="9"/>
      <c r="E11" s="53"/>
      <c r="F11" s="9"/>
      <c r="G11" s="9">
        <v>931</v>
      </c>
      <c r="H11" s="9">
        <v>1962</v>
      </c>
      <c r="I11" s="53">
        <v>1934</v>
      </c>
      <c r="J11" s="9">
        <v>1686</v>
      </c>
      <c r="K11" s="9">
        <v>1703</v>
      </c>
      <c r="L11" s="9">
        <v>2726</v>
      </c>
      <c r="M11" s="53">
        <v>2734</v>
      </c>
      <c r="N11" s="9">
        <v>2750</v>
      </c>
      <c r="O11" s="9">
        <v>2673.1226000000001</v>
      </c>
      <c r="P11" s="9">
        <v>2665.9150999999997</v>
      </c>
      <c r="Q11" s="9">
        <v>2635.4768999999997</v>
      </c>
      <c r="R11" s="9"/>
      <c r="S11" s="9">
        <v>875</v>
      </c>
      <c r="T11" s="9">
        <f t="shared" si="0"/>
        <v>1934</v>
      </c>
      <c r="U11" s="9">
        <f t="shared" si="1"/>
        <v>2734</v>
      </c>
      <c r="V11" s="9">
        <f t="shared" si="2"/>
        <v>2635.4768999999997</v>
      </c>
    </row>
    <row r="12" spans="1:36" ht="17.25" customHeight="1">
      <c r="A12" s="28" t="s">
        <v>34</v>
      </c>
      <c r="B12" s="9"/>
      <c r="C12" s="9"/>
      <c r="D12" s="9"/>
      <c r="E12" s="53"/>
      <c r="F12" s="9"/>
      <c r="G12" s="9">
        <v>-1116</v>
      </c>
      <c r="H12" s="9">
        <v>2618.41</v>
      </c>
      <c r="I12" s="53">
        <v>1920</v>
      </c>
      <c r="J12" s="9">
        <v>982</v>
      </c>
      <c r="K12" s="9">
        <v>1346</v>
      </c>
      <c r="L12" s="9">
        <v>2293</v>
      </c>
      <c r="M12" s="53">
        <v>2943</v>
      </c>
      <c r="N12" s="9">
        <v>3230</v>
      </c>
      <c r="O12" s="9">
        <v>3191.9465144088372</v>
      </c>
      <c r="P12" s="9">
        <v>3225.3491374695386</v>
      </c>
      <c r="Q12" s="9">
        <v>3105.2804973376751</v>
      </c>
      <c r="R12" s="9"/>
      <c r="S12" s="9">
        <v>-876</v>
      </c>
      <c r="T12" s="9">
        <f t="shared" si="0"/>
        <v>1920</v>
      </c>
      <c r="U12" s="9">
        <f t="shared" si="1"/>
        <v>2943</v>
      </c>
      <c r="V12" s="9">
        <f t="shared" si="2"/>
        <v>3105.2804973376751</v>
      </c>
    </row>
    <row r="13" spans="1:36" ht="17.25" customHeight="1">
      <c r="A13" s="29" t="s">
        <v>30</v>
      </c>
      <c r="B13" s="1"/>
      <c r="C13" s="1"/>
      <c r="D13" s="1"/>
      <c r="E13" s="30"/>
      <c r="F13" s="1"/>
      <c r="G13" s="1">
        <f t="shared" ref="G13:S13" si="5">G5+G8+G9+G10+G11+G12</f>
        <v>73070</v>
      </c>
      <c r="H13" s="1">
        <f t="shared" si="5"/>
        <v>77949.89</v>
      </c>
      <c r="I13" s="30">
        <f t="shared" si="5"/>
        <v>79882</v>
      </c>
      <c r="J13" s="1">
        <f t="shared" si="5"/>
        <v>77921</v>
      </c>
      <c r="K13" s="1">
        <f t="shared" si="5"/>
        <v>77966.399999999994</v>
      </c>
      <c r="L13" s="1">
        <f t="shared" si="5"/>
        <v>80091</v>
      </c>
      <c r="M13" s="30">
        <f t="shared" si="5"/>
        <v>79959</v>
      </c>
      <c r="N13" s="1">
        <f t="shared" si="5"/>
        <v>81688</v>
      </c>
      <c r="O13" s="1">
        <f t="shared" si="5"/>
        <v>84478.238589899993</v>
      </c>
      <c r="P13" s="1">
        <f>P5+P8+P9+P10+P11+P12</f>
        <v>89054.902201600009</v>
      </c>
      <c r="Q13" s="1">
        <f>Q5+Q8+Q9+Q10+Q11+Q12</f>
        <v>92579.91</v>
      </c>
      <c r="R13" s="1"/>
      <c r="S13" s="1">
        <f t="shared" si="5"/>
        <v>79050</v>
      </c>
      <c r="T13" s="1">
        <f t="shared" si="0"/>
        <v>79882</v>
      </c>
      <c r="U13" s="1">
        <f t="shared" si="1"/>
        <v>79959</v>
      </c>
      <c r="V13" s="1">
        <f t="shared" si="2"/>
        <v>92579.91</v>
      </c>
    </row>
    <row r="14" spans="1:36" ht="17.25" customHeight="1">
      <c r="A14" s="31"/>
      <c r="B14" s="32"/>
      <c r="C14" s="32"/>
      <c r="D14" s="32"/>
      <c r="E14" s="33"/>
      <c r="F14" s="32"/>
      <c r="G14" s="32"/>
      <c r="H14" s="32"/>
      <c r="I14" s="33"/>
      <c r="J14" s="32"/>
      <c r="K14" s="32"/>
      <c r="L14" s="32"/>
      <c r="M14" s="33"/>
      <c r="N14" s="32"/>
      <c r="O14" s="32"/>
      <c r="P14" s="32"/>
      <c r="Q14" s="32"/>
      <c r="R14" s="32"/>
      <c r="S14" s="32"/>
      <c r="T14" s="32"/>
      <c r="U14" s="32"/>
      <c r="V14" s="9"/>
    </row>
    <row r="15" spans="1:36" ht="17.25" customHeight="1">
      <c r="A15" s="24" t="s">
        <v>23</v>
      </c>
      <c r="B15" s="25"/>
      <c r="C15" s="25"/>
      <c r="D15" s="25"/>
      <c r="E15" s="26"/>
      <c r="F15" s="25"/>
      <c r="G15" s="25"/>
      <c r="H15" s="25"/>
      <c r="I15" s="26"/>
      <c r="J15" s="25"/>
      <c r="K15" s="25"/>
      <c r="L15" s="25"/>
      <c r="M15" s="26"/>
      <c r="N15" s="25"/>
      <c r="O15" s="25"/>
      <c r="P15" s="25"/>
      <c r="Q15" s="25"/>
      <c r="R15" s="25"/>
      <c r="S15" s="25"/>
      <c r="T15" s="25"/>
      <c r="U15" s="25"/>
      <c r="V15" s="25"/>
    </row>
    <row r="16" spans="1:36" ht="17.25" customHeight="1">
      <c r="A16" s="28" t="s">
        <v>24</v>
      </c>
      <c r="B16" s="47"/>
      <c r="C16" s="47"/>
      <c r="D16" s="47"/>
      <c r="E16" s="53"/>
      <c r="F16" s="9"/>
      <c r="G16" s="9">
        <v>27472</v>
      </c>
      <c r="H16" s="9">
        <v>31241</v>
      </c>
      <c r="I16" s="53">
        <v>31059</v>
      </c>
      <c r="J16" s="9">
        <v>30844</v>
      </c>
      <c r="K16" s="9">
        <v>28710</v>
      </c>
      <c r="L16" s="9">
        <v>26376</v>
      </c>
      <c r="M16" s="53">
        <v>26557</v>
      </c>
      <c r="N16" s="9">
        <v>26863</v>
      </c>
      <c r="O16" s="9">
        <v>26929.94</v>
      </c>
      <c r="P16" s="9">
        <v>26923.88</v>
      </c>
      <c r="Q16" s="9">
        <v>27095.940000000002</v>
      </c>
      <c r="R16" s="9"/>
      <c r="S16" s="9">
        <v>30120</v>
      </c>
      <c r="T16" s="9">
        <f>I16</f>
        <v>31059</v>
      </c>
      <c r="U16" s="9">
        <f>M16</f>
        <v>26557</v>
      </c>
      <c r="V16" s="9">
        <f t="shared" si="2"/>
        <v>27095.940000000002</v>
      </c>
    </row>
    <row r="17" spans="1:22" ht="17.25" customHeight="1">
      <c r="A17" s="28" t="s">
        <v>25</v>
      </c>
      <c r="B17" s="47"/>
      <c r="C17" s="47"/>
      <c r="D17" s="47"/>
      <c r="E17" s="53"/>
      <c r="F17" s="9"/>
      <c r="G17" s="9">
        <v>45598</v>
      </c>
      <c r="H17" s="9">
        <v>46709</v>
      </c>
      <c r="I17" s="53">
        <v>48823</v>
      </c>
      <c r="J17" s="9">
        <v>47077</v>
      </c>
      <c r="K17" s="9">
        <v>49256</v>
      </c>
      <c r="L17" s="9">
        <v>53715</v>
      </c>
      <c r="M17" s="53">
        <v>53402</v>
      </c>
      <c r="N17" s="9">
        <v>54825</v>
      </c>
      <c r="O17" s="9">
        <v>57548.298589899998</v>
      </c>
      <c r="P17" s="9">
        <v>62131.022201600004</v>
      </c>
      <c r="Q17" s="9">
        <v>65483.97</v>
      </c>
      <c r="R17" s="9"/>
      <c r="S17" s="9">
        <v>48930</v>
      </c>
      <c r="T17" s="9">
        <f>I17</f>
        <v>48823</v>
      </c>
      <c r="U17" s="9">
        <f>M17</f>
        <v>53402</v>
      </c>
      <c r="V17" s="9">
        <f t="shared" si="2"/>
        <v>65483.97</v>
      </c>
    </row>
    <row r="18" spans="1:22" ht="17.25" customHeight="1">
      <c r="A18" s="29" t="s">
        <v>26</v>
      </c>
      <c r="B18" s="1"/>
      <c r="C18" s="1"/>
      <c r="D18" s="1"/>
      <c r="E18" s="30"/>
      <c r="F18" s="1"/>
      <c r="G18" s="1">
        <f t="shared" ref="G18:S18" si="6">SUM(G16:G17)</f>
        <v>73070</v>
      </c>
      <c r="H18" s="1">
        <f t="shared" si="6"/>
        <v>77950</v>
      </c>
      <c r="I18" s="30">
        <f t="shared" si="6"/>
        <v>79882</v>
      </c>
      <c r="J18" s="1">
        <f t="shared" si="6"/>
        <v>77921</v>
      </c>
      <c r="K18" s="1">
        <f t="shared" si="6"/>
        <v>77966</v>
      </c>
      <c r="L18" s="1">
        <f t="shared" si="6"/>
        <v>80091</v>
      </c>
      <c r="M18" s="30">
        <f t="shared" si="6"/>
        <v>79959</v>
      </c>
      <c r="N18" s="1">
        <f t="shared" si="6"/>
        <v>81688</v>
      </c>
      <c r="O18" s="1">
        <f t="shared" si="6"/>
        <v>84478.238589899993</v>
      </c>
      <c r="P18" s="1">
        <f t="shared" ref="P18:Q18" si="7">SUM(P16:P17)</f>
        <v>89054.902201600009</v>
      </c>
      <c r="Q18" s="1">
        <f t="shared" si="7"/>
        <v>92579.91</v>
      </c>
      <c r="R18" s="1"/>
      <c r="S18" s="1">
        <f t="shared" si="6"/>
        <v>79050</v>
      </c>
      <c r="T18" s="1">
        <f>I18</f>
        <v>79882</v>
      </c>
      <c r="U18" s="1">
        <f>M18</f>
        <v>79959</v>
      </c>
      <c r="V18" s="1">
        <f t="shared" si="2"/>
        <v>92579.91</v>
      </c>
    </row>
    <row r="21" spans="1:22" ht="17.25" customHeight="1">
      <c r="G21" s="9"/>
      <c r="H21" s="131"/>
      <c r="I21" s="131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</row>
  </sheetData>
  <mergeCells count="5">
    <mergeCell ref="B1:E1"/>
    <mergeCell ref="F1:I1"/>
    <mergeCell ref="J1:M1"/>
    <mergeCell ref="N1:P1"/>
    <mergeCell ref="S1:V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AJ32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7" width="9.33203125" style="10" customWidth="1"/>
    <col min="18" max="18" width="8.6640625" style="10"/>
    <col min="19" max="21" width="9.33203125" style="10" customWidth="1"/>
    <col min="22" max="16384" width="8.6640625" style="10"/>
  </cols>
  <sheetData>
    <row r="1" spans="1:36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36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37"/>
      <c r="S2" s="18" t="s">
        <v>0</v>
      </c>
      <c r="T2" s="18" t="s">
        <v>1</v>
      </c>
      <c r="U2" s="18" t="s">
        <v>2</v>
      </c>
      <c r="V2" s="18" t="s">
        <v>15</v>
      </c>
    </row>
    <row r="3" spans="1:36" ht="17.25" customHeight="1">
      <c r="A3" s="20" t="s">
        <v>118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1"/>
      <c r="R3" s="23"/>
      <c r="S3" s="23"/>
      <c r="T3" s="23"/>
      <c r="U3" s="23"/>
      <c r="V3" s="23"/>
    </row>
    <row r="4" spans="1:36" ht="17.25" customHeight="1">
      <c r="A4" s="15" t="s">
        <v>50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93">
        <v>2029.91</v>
      </c>
      <c r="G4" s="43">
        <v>1841.92</v>
      </c>
      <c r="H4" s="43">
        <v>2006.23</v>
      </c>
      <c r="I4" s="55">
        <v>1920.56</v>
      </c>
      <c r="J4" s="43">
        <v>1725.06</v>
      </c>
      <c r="K4" s="43">
        <v>1800.3200000000002</v>
      </c>
      <c r="L4" s="43">
        <v>1952.6599999999999</v>
      </c>
      <c r="M4" s="55">
        <v>1943.67</v>
      </c>
      <c r="N4" s="43">
        <v>2011.3308005220413</v>
      </c>
      <c r="O4" s="43">
        <v>2197.9743138868771</v>
      </c>
      <c r="P4" s="43">
        <v>2318.0737000000004</v>
      </c>
      <c r="Q4" s="43">
        <v>2381.3468511260926</v>
      </c>
      <c r="S4" s="43">
        <f>SUM(B4:E4)</f>
        <v>7522.78</v>
      </c>
      <c r="T4" s="43">
        <f>SUM(F4:I4)</f>
        <v>7798.619999999999</v>
      </c>
      <c r="U4" s="43">
        <f>SUM(J4:M4)</f>
        <v>7421.71</v>
      </c>
      <c r="V4" s="43">
        <f>SUM(N4:Q4)</f>
        <v>8908.725665535012</v>
      </c>
    </row>
    <row r="5" spans="1:36" ht="17.25" customHeight="1">
      <c r="A5" s="15" t="s">
        <v>38</v>
      </c>
      <c r="B5" s="43">
        <v>943.15</v>
      </c>
      <c r="C5" s="43">
        <v>914.01</v>
      </c>
      <c r="D5" s="43">
        <v>1249.3300000000002</v>
      </c>
      <c r="E5" s="55">
        <v>1175.23</v>
      </c>
      <c r="F5" s="93">
        <v>1051.4000000000001</v>
      </c>
      <c r="G5" s="43">
        <v>1012.9400000000002</v>
      </c>
      <c r="H5" s="43">
        <v>973.33000000000015</v>
      </c>
      <c r="I5" s="55">
        <v>1003.5099999999999</v>
      </c>
      <c r="J5" s="43">
        <v>1043.8900000000001</v>
      </c>
      <c r="K5" s="43">
        <v>1050.03</v>
      </c>
      <c r="L5" s="43">
        <v>1117.79</v>
      </c>
      <c r="M5" s="55">
        <v>1188.73</v>
      </c>
      <c r="N5" s="43">
        <v>1204.6874132837784</v>
      </c>
      <c r="O5" s="43">
        <v>1317.4</v>
      </c>
      <c r="P5" s="43">
        <v>1377.8999999999999</v>
      </c>
      <c r="Q5" s="43">
        <v>1417.4</v>
      </c>
      <c r="S5" s="43">
        <f t="shared" ref="S5:S27" si="0">SUM(B5:E5)</f>
        <v>4281.7199999999993</v>
      </c>
      <c r="T5" s="43">
        <f t="shared" ref="T5:T27" si="1">SUM(F5:I5)</f>
        <v>4041.18</v>
      </c>
      <c r="U5" s="43">
        <f t="shared" ref="U5:U27" si="2">SUM(J5:M5)</f>
        <v>4400.4400000000005</v>
      </c>
      <c r="V5" s="43">
        <f t="shared" ref="V5:V27" si="3">SUM(N5:Q5)</f>
        <v>5317.3874132837791</v>
      </c>
    </row>
    <row r="6" spans="1:36" ht="17.25" customHeight="1">
      <c r="A6" s="40" t="s">
        <v>179</v>
      </c>
      <c r="B6" s="41">
        <f t="shared" ref="B6:L6" si="4">B4-B5</f>
        <v>596.52999999999986</v>
      </c>
      <c r="C6" s="41">
        <f t="shared" si="4"/>
        <v>618.99</v>
      </c>
      <c r="D6" s="41">
        <f t="shared" si="4"/>
        <v>908.47</v>
      </c>
      <c r="E6" s="42">
        <f t="shared" si="4"/>
        <v>1117.0700000000002</v>
      </c>
      <c r="F6" s="41">
        <f t="shared" si="4"/>
        <v>978.51</v>
      </c>
      <c r="G6" s="41">
        <f t="shared" si="4"/>
        <v>828.9799999999999</v>
      </c>
      <c r="H6" s="41">
        <f t="shared" si="4"/>
        <v>1032.8999999999999</v>
      </c>
      <c r="I6" s="42">
        <f t="shared" si="4"/>
        <v>917.05000000000007</v>
      </c>
      <c r="J6" s="41">
        <f t="shared" si="4"/>
        <v>681.16999999999985</v>
      </c>
      <c r="K6" s="41">
        <f t="shared" si="4"/>
        <v>750.29000000000019</v>
      </c>
      <c r="L6" s="41">
        <f t="shared" si="4"/>
        <v>834.86999999999989</v>
      </c>
      <c r="M6" s="42">
        <f>M4-M5</f>
        <v>754.94</v>
      </c>
      <c r="N6" s="41">
        <f>N4-N5</f>
        <v>806.6433872382629</v>
      </c>
      <c r="O6" s="41">
        <f>O4-O5</f>
        <v>880.57431388687701</v>
      </c>
      <c r="P6" s="41">
        <f>P4-P5</f>
        <v>940.17370000000051</v>
      </c>
      <c r="Q6" s="41">
        <f>Q4-Q5</f>
        <v>963.9468511260925</v>
      </c>
      <c r="S6" s="41">
        <f t="shared" si="0"/>
        <v>3241.06</v>
      </c>
      <c r="T6" s="41">
        <f t="shared" si="1"/>
        <v>3757.4399999999996</v>
      </c>
      <c r="U6" s="41">
        <f t="shared" si="2"/>
        <v>3021.27</v>
      </c>
      <c r="V6" s="41">
        <f t="shared" si="3"/>
        <v>3591.3382522512329</v>
      </c>
    </row>
    <row r="7" spans="1:36" ht="17.25" customHeight="1">
      <c r="A7" s="40"/>
      <c r="B7" s="41"/>
      <c r="C7" s="41"/>
      <c r="D7" s="41"/>
      <c r="E7" s="42"/>
      <c r="F7" s="41"/>
      <c r="G7" s="41"/>
      <c r="H7" s="41"/>
      <c r="I7" s="42"/>
      <c r="J7" s="41"/>
      <c r="K7" s="41"/>
      <c r="L7" s="41"/>
      <c r="M7" s="42"/>
      <c r="N7" s="41"/>
      <c r="O7" s="41"/>
      <c r="P7" s="41"/>
      <c r="Q7" s="41"/>
      <c r="S7" s="41"/>
      <c r="T7" s="41"/>
      <c r="U7" s="41"/>
      <c r="V7" s="41"/>
    </row>
    <row r="8" spans="1:36" ht="17.25" customHeight="1">
      <c r="A8" s="15" t="s">
        <v>39</v>
      </c>
      <c r="B8" s="108">
        <v>36.479999999999997</v>
      </c>
      <c r="C8" s="108">
        <v>19.760000000000002</v>
      </c>
      <c r="D8" s="108">
        <v>37.520000000000003</v>
      </c>
      <c r="E8" s="109">
        <v>41.67</v>
      </c>
      <c r="F8" s="141">
        <v>63.09</v>
      </c>
      <c r="G8" s="110">
        <v>48.26</v>
      </c>
      <c r="H8" s="110">
        <v>84.48</v>
      </c>
      <c r="I8" s="109">
        <v>95.81</v>
      </c>
      <c r="J8" s="110">
        <v>90.16</v>
      </c>
      <c r="K8" s="110">
        <v>125.19000000000001</v>
      </c>
      <c r="L8" s="110">
        <v>154.58000000000001</v>
      </c>
      <c r="M8" s="109">
        <v>189.79000000000002</v>
      </c>
      <c r="N8" s="43">
        <v>108.78</v>
      </c>
      <c r="O8" s="43">
        <v>101.94999999999999</v>
      </c>
      <c r="P8" s="43">
        <v>106.94</v>
      </c>
      <c r="Q8" s="43">
        <v>122.66000000000001</v>
      </c>
      <c r="S8" s="43">
        <f t="shared" si="0"/>
        <v>135.43</v>
      </c>
      <c r="T8" s="43">
        <f t="shared" si="1"/>
        <v>291.64</v>
      </c>
      <c r="U8" s="43">
        <f t="shared" si="2"/>
        <v>559.72</v>
      </c>
      <c r="V8" s="43">
        <f t="shared" si="3"/>
        <v>440.33</v>
      </c>
      <c r="W8" s="132"/>
    </row>
    <row r="9" spans="1:36" ht="17.25" customHeight="1">
      <c r="A9" s="15" t="s">
        <v>40</v>
      </c>
      <c r="B9" s="108">
        <v>13.680000000000001</v>
      </c>
      <c r="C9" s="108">
        <v>16.97</v>
      </c>
      <c r="D9" s="108">
        <v>10.34</v>
      </c>
      <c r="E9" s="109">
        <v>8.3699999999999992</v>
      </c>
      <c r="F9" s="140">
        <v>0</v>
      </c>
      <c r="G9" s="110">
        <v>0</v>
      </c>
      <c r="H9" s="110">
        <v>0</v>
      </c>
      <c r="I9" s="109">
        <v>91.71</v>
      </c>
      <c r="J9" s="110">
        <v>76.209999999999994</v>
      </c>
      <c r="K9" s="110">
        <v>13.330000000000013</v>
      </c>
      <c r="L9" s="110">
        <v>9.25</v>
      </c>
      <c r="M9" s="109">
        <v>49.1</v>
      </c>
      <c r="N9" s="43">
        <v>0.03</v>
      </c>
      <c r="O9" s="43">
        <v>32.24</v>
      </c>
      <c r="P9" s="43">
        <v>12.119999999999997</v>
      </c>
      <c r="Q9" s="43">
        <v>13.149999999999999</v>
      </c>
      <c r="S9" s="43">
        <f t="shared" si="0"/>
        <v>49.359999999999992</v>
      </c>
      <c r="T9" s="43">
        <f t="shared" si="1"/>
        <v>91.71</v>
      </c>
      <c r="U9" s="43">
        <f t="shared" si="2"/>
        <v>147.89000000000001</v>
      </c>
      <c r="V9" s="43">
        <f t="shared" si="3"/>
        <v>57.54</v>
      </c>
      <c r="W9" s="132"/>
    </row>
    <row r="10" spans="1:36" ht="17.25" customHeight="1">
      <c r="A10" s="15" t="s">
        <v>52</v>
      </c>
      <c r="B10" s="108">
        <v>27.380000000000003</v>
      </c>
      <c r="C10" s="108">
        <v>31.049999999999997</v>
      </c>
      <c r="D10" s="108">
        <v>48.86</v>
      </c>
      <c r="E10" s="109">
        <v>96.030000000000015</v>
      </c>
      <c r="F10" s="141">
        <v>27.72</v>
      </c>
      <c r="G10" s="110">
        <v>66.05</v>
      </c>
      <c r="H10" s="110">
        <v>776.0200000000001</v>
      </c>
      <c r="I10" s="109">
        <v>34.940000000000005</v>
      </c>
      <c r="J10" s="110">
        <v>43.610000000000007</v>
      </c>
      <c r="K10" s="110">
        <v>25.670000000000009</v>
      </c>
      <c r="L10" s="110">
        <v>87.6</v>
      </c>
      <c r="M10" s="109">
        <v>83.770000000000152</v>
      </c>
      <c r="N10" s="43">
        <v>57.892653774745753</v>
      </c>
      <c r="O10" s="43">
        <v>122.60169999999999</v>
      </c>
      <c r="P10" s="43">
        <v>85.61160000000001</v>
      </c>
      <c r="Q10" s="43">
        <v>240.90375790000004</v>
      </c>
      <c r="S10" s="43">
        <f>SUM(B10:E10)</f>
        <v>203.32</v>
      </c>
      <c r="T10" s="43">
        <f>SUM(F10:I10)</f>
        <v>904.73000000000013</v>
      </c>
      <c r="U10" s="43">
        <f>SUM(J10:M10)</f>
        <v>240.65000000000015</v>
      </c>
      <c r="V10" s="43">
        <f t="shared" si="3"/>
        <v>507.00971167474586</v>
      </c>
      <c r="W10" s="132"/>
    </row>
    <row r="11" spans="1:36" ht="17.25" customHeight="1">
      <c r="A11" s="40" t="s">
        <v>180</v>
      </c>
      <c r="B11" s="41">
        <f t="shared" ref="B11:O11" si="5">B8+B9+B10</f>
        <v>77.539999999999992</v>
      </c>
      <c r="C11" s="41">
        <f t="shared" si="5"/>
        <v>67.78</v>
      </c>
      <c r="D11" s="41">
        <f t="shared" si="5"/>
        <v>96.72</v>
      </c>
      <c r="E11" s="42">
        <f t="shared" si="5"/>
        <v>146.07000000000002</v>
      </c>
      <c r="F11" s="41">
        <f t="shared" si="5"/>
        <v>90.81</v>
      </c>
      <c r="G11" s="41">
        <f t="shared" si="5"/>
        <v>114.31</v>
      </c>
      <c r="H11" s="41">
        <f t="shared" si="5"/>
        <v>860.50000000000011</v>
      </c>
      <c r="I11" s="42">
        <f t="shared" si="5"/>
        <v>222.45999999999998</v>
      </c>
      <c r="J11" s="41">
        <f t="shared" si="5"/>
        <v>209.98000000000002</v>
      </c>
      <c r="K11" s="41">
        <f t="shared" si="5"/>
        <v>164.19000000000005</v>
      </c>
      <c r="L11" s="41">
        <f t="shared" si="5"/>
        <v>251.43</v>
      </c>
      <c r="M11" s="42">
        <f t="shared" si="5"/>
        <v>322.6600000000002</v>
      </c>
      <c r="N11" s="41">
        <f t="shared" si="5"/>
        <v>166.70265377474576</v>
      </c>
      <c r="O11" s="41">
        <f t="shared" si="5"/>
        <v>256.79169999999999</v>
      </c>
      <c r="P11" s="41">
        <f t="shared" ref="P11:Q11" si="6">P8+P9+P10</f>
        <v>204.67160000000001</v>
      </c>
      <c r="Q11" s="41">
        <f t="shared" si="6"/>
        <v>376.71375790000002</v>
      </c>
      <c r="S11" s="41">
        <f t="shared" si="0"/>
        <v>388.11</v>
      </c>
      <c r="T11" s="41">
        <f t="shared" si="1"/>
        <v>1288.0800000000002</v>
      </c>
      <c r="U11" s="41">
        <f t="shared" si="2"/>
        <v>948.26000000000033</v>
      </c>
      <c r="V11" s="41">
        <f t="shared" si="3"/>
        <v>1004.8797116747457</v>
      </c>
      <c r="W11" s="132"/>
    </row>
    <row r="12" spans="1:36" ht="17.25" customHeight="1">
      <c r="A12" s="40" t="s">
        <v>181</v>
      </c>
      <c r="B12" s="41">
        <f t="shared" ref="B12:O12" si="7">B6+B11</f>
        <v>674.06999999999982</v>
      </c>
      <c r="C12" s="41">
        <f t="shared" si="7"/>
        <v>686.77</v>
      </c>
      <c r="D12" s="41">
        <f t="shared" si="7"/>
        <v>1005.19</v>
      </c>
      <c r="E12" s="42">
        <f t="shared" si="7"/>
        <v>1263.1400000000001</v>
      </c>
      <c r="F12" s="41">
        <f t="shared" si="7"/>
        <v>1069.32</v>
      </c>
      <c r="G12" s="41">
        <f t="shared" si="7"/>
        <v>943.29</v>
      </c>
      <c r="H12" s="41">
        <f t="shared" si="7"/>
        <v>1893.4</v>
      </c>
      <c r="I12" s="42">
        <f t="shared" si="7"/>
        <v>1139.51</v>
      </c>
      <c r="J12" s="41">
        <f t="shared" si="7"/>
        <v>891.14999999999986</v>
      </c>
      <c r="K12" s="41">
        <f t="shared" si="7"/>
        <v>914.48000000000025</v>
      </c>
      <c r="L12" s="41">
        <f t="shared" si="7"/>
        <v>1086.3</v>
      </c>
      <c r="M12" s="42">
        <f t="shared" si="7"/>
        <v>1077.6000000000004</v>
      </c>
      <c r="N12" s="41">
        <f t="shared" si="7"/>
        <v>973.34604101300863</v>
      </c>
      <c r="O12" s="41">
        <f t="shared" si="7"/>
        <v>1137.366013886877</v>
      </c>
      <c r="P12" s="41">
        <f t="shared" ref="P12:Q12" si="8">P6+P11</f>
        <v>1144.8453000000004</v>
      </c>
      <c r="Q12" s="41">
        <f t="shared" si="8"/>
        <v>1340.6606090260925</v>
      </c>
      <c r="S12" s="41">
        <f t="shared" si="0"/>
        <v>3629.17</v>
      </c>
      <c r="T12" s="41">
        <f t="shared" si="1"/>
        <v>5045.5200000000004</v>
      </c>
      <c r="U12" s="41">
        <f t="shared" si="2"/>
        <v>3969.5300000000007</v>
      </c>
      <c r="V12" s="41">
        <f t="shared" si="3"/>
        <v>4596.2179639259784</v>
      </c>
    </row>
    <row r="13" spans="1:36" ht="17.25" customHeight="1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S13" s="41"/>
      <c r="T13" s="41"/>
      <c r="U13" s="41"/>
      <c r="V13" s="41"/>
    </row>
    <row r="14" spans="1:36" ht="17.25" customHeight="1">
      <c r="A14" s="28" t="s">
        <v>182</v>
      </c>
      <c r="B14" s="43">
        <f>'P&amp;L - SEBI Format'!B22</f>
        <v>100.72</v>
      </c>
      <c r="C14" s="43">
        <f>'P&amp;L - SEBI Format'!C22</f>
        <v>95.63</v>
      </c>
      <c r="D14" s="43">
        <f>'P&amp;L - SEBI Format'!D22</f>
        <v>114.51000000000002</v>
      </c>
      <c r="E14" s="43">
        <f>'P&amp;L - SEBI Format'!E22</f>
        <v>201.78</v>
      </c>
      <c r="F14" s="93">
        <f>'P&amp;L - SEBI Format'!F22</f>
        <v>201.91000000000003</v>
      </c>
      <c r="G14" s="43">
        <f>'P&amp;L - SEBI Format'!G22</f>
        <v>187.37</v>
      </c>
      <c r="H14" s="43">
        <f>'P&amp;L - SEBI Format'!H22</f>
        <v>260.83999999999997</v>
      </c>
      <c r="I14" s="43">
        <f>'P&amp;L - SEBI Format'!I22</f>
        <v>279.93</v>
      </c>
      <c r="J14" s="43">
        <f>'P&amp;L - SEBI Format'!J22</f>
        <v>301.02</v>
      </c>
      <c r="K14" s="43">
        <f>'P&amp;L - SEBI Format'!K22</f>
        <v>359.44000000000005</v>
      </c>
      <c r="L14" s="43">
        <f>'P&amp;L - SEBI Format'!L22</f>
        <v>355.65999999999997</v>
      </c>
      <c r="M14" s="43">
        <f>'P&amp;L - SEBI Format'!M22</f>
        <v>334.53000000000003</v>
      </c>
      <c r="N14" s="43">
        <f>'P&amp;L - SEBI Format'!N22</f>
        <v>379.5</v>
      </c>
      <c r="O14" s="43">
        <f>'P&amp;L - SEBI Format'!O22</f>
        <v>413.03</v>
      </c>
      <c r="P14" s="43">
        <f>'P&amp;L - SEBI Format'!P22</f>
        <v>424.61000000000013</v>
      </c>
      <c r="Q14" s="43">
        <f>'P&amp;L - SEBI Format'!Q22</f>
        <v>404.5</v>
      </c>
      <c r="R14" s="43"/>
      <c r="S14" s="43">
        <f>'P&amp;L - SEBI Format'!S22</f>
        <v>512.64</v>
      </c>
      <c r="T14" s="43">
        <f>'P&amp;L - SEBI Format'!T22</f>
        <v>930.05</v>
      </c>
      <c r="U14" s="43">
        <f>'P&amp;L - SEBI Format'!U22</f>
        <v>1350.65</v>
      </c>
      <c r="V14" s="43">
        <f t="shared" si="3"/>
        <v>1621.64</v>
      </c>
    </row>
    <row r="15" spans="1:36" ht="17.25" customHeight="1">
      <c r="A15" s="15" t="s">
        <v>81</v>
      </c>
      <c r="B15" s="43">
        <f>'P&amp;L - SEBI Format'!B23+'P&amp;L - SEBI Format'!B24</f>
        <v>108.72000000000001</v>
      </c>
      <c r="C15" s="43">
        <f>'P&amp;L - SEBI Format'!C23+'P&amp;L - SEBI Format'!C24</f>
        <v>113.81</v>
      </c>
      <c r="D15" s="43">
        <f>'P&amp;L - SEBI Format'!D23+'P&amp;L - SEBI Format'!D24</f>
        <v>195.42</v>
      </c>
      <c r="E15" s="43">
        <f>'P&amp;L - SEBI Format'!E23+'P&amp;L - SEBI Format'!E24</f>
        <v>241.16</v>
      </c>
      <c r="F15" s="93">
        <f>'P&amp;L - SEBI Format'!F23+'P&amp;L - SEBI Format'!F24</f>
        <v>239.63</v>
      </c>
      <c r="G15" s="43">
        <f>'P&amp;L - SEBI Format'!G23+'P&amp;L - SEBI Format'!G24</f>
        <v>353.76000000000005</v>
      </c>
      <c r="H15" s="43">
        <f>'P&amp;L - SEBI Format'!H23+'P&amp;L - SEBI Format'!H24</f>
        <v>297.83999999999997</v>
      </c>
      <c r="I15" s="43">
        <f>'P&amp;L - SEBI Format'!I23+'P&amp;L - SEBI Format'!I24</f>
        <v>393.56</v>
      </c>
      <c r="J15" s="43">
        <v>326.98</v>
      </c>
      <c r="K15" s="43">
        <f>'P&amp;L - SEBI Format'!K23+'P&amp;L - SEBI Format'!K24</f>
        <v>304.66999999999996</v>
      </c>
      <c r="L15" s="43">
        <f>'P&amp;L - SEBI Format'!L23+'P&amp;L - SEBI Format'!L24</f>
        <v>341.34</v>
      </c>
      <c r="M15" s="43">
        <f>450.24+0.2</f>
        <v>450.44</v>
      </c>
      <c r="N15" s="43">
        <f>'P&amp;L - SEBI Format'!N23+'P&amp;L - SEBI Format'!N24</f>
        <v>323.85999999999996</v>
      </c>
      <c r="O15" s="43">
        <f>'P&amp;L - SEBI Format'!O23+'P&amp;L - SEBI Format'!O24</f>
        <v>327.95000000000005</v>
      </c>
      <c r="P15" s="43">
        <f>'P&amp;L - SEBI Format'!P23+'P&amp;L - SEBI Format'!P24</f>
        <v>361.76</v>
      </c>
      <c r="Q15" s="43">
        <f>'P&amp;L - SEBI Format'!Q23+'P&amp;L - SEBI Format'!Q24</f>
        <v>378.9799999999999</v>
      </c>
      <c r="R15" s="43"/>
      <c r="S15" s="43">
        <f>S16-S14</f>
        <v>659.11</v>
      </c>
      <c r="T15" s="43">
        <f>T16-T14</f>
        <v>1284.7900000000002</v>
      </c>
      <c r="U15" s="43">
        <f>U16-U14</f>
        <v>1423.4299999999998</v>
      </c>
      <c r="V15" s="43">
        <f t="shared" si="3"/>
        <v>1392.5499999999997</v>
      </c>
    </row>
    <row r="16" spans="1:36" s="44" customFormat="1" ht="17.25" customHeight="1">
      <c r="A16" s="40" t="s">
        <v>183</v>
      </c>
      <c r="B16" s="41">
        <f>B14+B15</f>
        <v>209.44</v>
      </c>
      <c r="C16" s="41">
        <f t="shared" ref="C16:O16" si="9">C14+C15</f>
        <v>209.44</v>
      </c>
      <c r="D16" s="41">
        <f t="shared" si="9"/>
        <v>309.93</v>
      </c>
      <c r="E16" s="41">
        <f t="shared" si="9"/>
        <v>442.94</v>
      </c>
      <c r="F16" s="41">
        <f t="shared" si="9"/>
        <v>441.54</v>
      </c>
      <c r="G16" s="41">
        <f t="shared" si="9"/>
        <v>541.13000000000011</v>
      </c>
      <c r="H16" s="41">
        <f t="shared" si="9"/>
        <v>558.67999999999995</v>
      </c>
      <c r="I16" s="41">
        <f t="shared" si="9"/>
        <v>673.49</v>
      </c>
      <c r="J16" s="41">
        <f t="shared" si="9"/>
        <v>628</v>
      </c>
      <c r="K16" s="41">
        <f t="shared" si="9"/>
        <v>664.11</v>
      </c>
      <c r="L16" s="41">
        <f t="shared" si="9"/>
        <v>697</v>
      </c>
      <c r="M16" s="41">
        <v>784.97</v>
      </c>
      <c r="N16" s="41">
        <f t="shared" si="9"/>
        <v>703.3599999999999</v>
      </c>
      <c r="O16" s="41">
        <f t="shared" si="9"/>
        <v>740.98</v>
      </c>
      <c r="P16" s="41">
        <f t="shared" ref="P16:Q16" si="10">P14+P15</f>
        <v>786.37000000000012</v>
      </c>
      <c r="Q16" s="41">
        <f t="shared" si="10"/>
        <v>783.4799999999999</v>
      </c>
      <c r="S16" s="41">
        <f t="shared" si="0"/>
        <v>1171.75</v>
      </c>
      <c r="T16" s="41">
        <f t="shared" si="1"/>
        <v>2214.84</v>
      </c>
      <c r="U16" s="41">
        <f t="shared" si="2"/>
        <v>2774.08</v>
      </c>
      <c r="V16" s="41">
        <f t="shared" si="3"/>
        <v>3014.19</v>
      </c>
    </row>
    <row r="17" spans="1:24" ht="17.25" customHeight="1">
      <c r="A17" s="40" t="s">
        <v>42</v>
      </c>
      <c r="B17" s="41">
        <f t="shared" ref="B17:L17" si="11">B12-B16</f>
        <v>464.62999999999982</v>
      </c>
      <c r="C17" s="41">
        <f t="shared" si="11"/>
        <v>477.33</v>
      </c>
      <c r="D17" s="41">
        <f t="shared" si="11"/>
        <v>695.26</v>
      </c>
      <c r="E17" s="42">
        <f t="shared" si="11"/>
        <v>820.2</v>
      </c>
      <c r="F17" s="41">
        <f t="shared" si="11"/>
        <v>627.78</v>
      </c>
      <c r="G17" s="41">
        <f t="shared" si="11"/>
        <v>402.15999999999985</v>
      </c>
      <c r="H17" s="41">
        <f t="shared" si="11"/>
        <v>1334.7200000000003</v>
      </c>
      <c r="I17" s="42">
        <f t="shared" si="11"/>
        <v>466.02</v>
      </c>
      <c r="J17" s="41">
        <f t="shared" si="11"/>
        <v>263.14999999999986</v>
      </c>
      <c r="K17" s="41">
        <f t="shared" si="11"/>
        <v>250.37000000000023</v>
      </c>
      <c r="L17" s="41">
        <f t="shared" si="11"/>
        <v>389.29999999999995</v>
      </c>
      <c r="M17" s="42">
        <f>M12-M16</f>
        <v>292.63000000000034</v>
      </c>
      <c r="N17" s="41">
        <f>N12-N16</f>
        <v>269.98604101300873</v>
      </c>
      <c r="O17" s="41">
        <f>O12-O16</f>
        <v>396.38601388687698</v>
      </c>
      <c r="P17" s="41">
        <f>P12-P16</f>
        <v>358.47530000000029</v>
      </c>
      <c r="Q17" s="41">
        <f>Q12-Q16</f>
        <v>557.18060902609261</v>
      </c>
      <c r="S17" s="41">
        <f t="shared" si="0"/>
        <v>2457.42</v>
      </c>
      <c r="T17" s="41">
        <f t="shared" si="1"/>
        <v>2830.68</v>
      </c>
      <c r="U17" s="41">
        <f t="shared" si="2"/>
        <v>1195.4500000000003</v>
      </c>
      <c r="V17" s="41">
        <f t="shared" si="3"/>
        <v>1582.0279639259784</v>
      </c>
    </row>
    <row r="18" spans="1:24" ht="17.25" customHeight="1">
      <c r="A18" s="40"/>
      <c r="B18" s="41"/>
      <c r="C18" s="41"/>
      <c r="D18" s="41"/>
      <c r="E18" s="42"/>
      <c r="F18" s="41"/>
      <c r="G18" s="41"/>
      <c r="H18" s="41"/>
      <c r="I18" s="42"/>
      <c r="J18" s="41"/>
      <c r="K18" s="41"/>
      <c r="L18" s="41"/>
      <c r="M18" s="42"/>
      <c r="N18" s="41"/>
      <c r="O18" s="41"/>
      <c r="P18" s="41"/>
      <c r="Q18" s="41"/>
      <c r="S18" s="41"/>
      <c r="T18" s="41"/>
      <c r="U18" s="41"/>
      <c r="V18" s="41"/>
      <c r="W18" s="43"/>
    </row>
    <row r="19" spans="1:24" ht="17.25" customHeight="1">
      <c r="A19" s="15" t="s">
        <v>43</v>
      </c>
      <c r="B19" s="43">
        <v>-76.040000000000006</v>
      </c>
      <c r="C19" s="43">
        <v>-68.28</v>
      </c>
      <c r="D19" s="43">
        <v>-97.02000000000001</v>
      </c>
      <c r="E19" s="55">
        <v>1071.26</v>
      </c>
      <c r="F19" s="43">
        <v>90.199999999999321</v>
      </c>
      <c r="G19" s="43">
        <v>3256.69</v>
      </c>
      <c r="H19" s="43">
        <v>1535.35</v>
      </c>
      <c r="I19" s="55">
        <v>297.82000000000016</v>
      </c>
      <c r="J19" s="43">
        <v>179.22000000000008</v>
      </c>
      <c r="K19" s="43">
        <v>197.77999999999992</v>
      </c>
      <c r="L19" s="43">
        <f>257.41+3539.8</f>
        <v>3797.21</v>
      </c>
      <c r="M19" s="55">
        <f>3354.4-1517.12</f>
        <v>1837.2800000000002</v>
      </c>
      <c r="N19" s="110">
        <f>133.357131710664-103.71</f>
        <v>29.647131710663999</v>
      </c>
      <c r="O19" s="43">
        <f>317.366013886877-76.93</f>
        <v>240.43601388687699</v>
      </c>
      <c r="P19" s="43">
        <f>648.3253-376.02</f>
        <v>272.30529999999999</v>
      </c>
      <c r="Q19" s="43">
        <v>531.29060902609206</v>
      </c>
      <c r="S19" s="43">
        <f t="shared" si="0"/>
        <v>829.92</v>
      </c>
      <c r="T19" s="43">
        <f t="shared" si="1"/>
        <v>5180.0599999999995</v>
      </c>
      <c r="U19" s="43">
        <f t="shared" si="2"/>
        <v>6011.49</v>
      </c>
      <c r="V19" s="43">
        <f t="shared" si="3"/>
        <v>1073.679054623633</v>
      </c>
      <c r="X19" s="43"/>
    </row>
    <row r="20" spans="1:24" ht="17.25" customHeight="1">
      <c r="A20" s="15" t="s">
        <v>44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-260</v>
      </c>
      <c r="I20" s="55">
        <v>375</v>
      </c>
      <c r="J20" s="43">
        <v>-855</v>
      </c>
      <c r="K20" s="55">
        <v>0</v>
      </c>
      <c r="L20" s="43">
        <v>0</v>
      </c>
      <c r="M20" s="55">
        <v>-870.69</v>
      </c>
      <c r="N20" s="110">
        <v>0</v>
      </c>
      <c r="O20" s="43">
        <v>0</v>
      </c>
      <c r="P20" s="43">
        <v>0</v>
      </c>
      <c r="Q20" s="43">
        <v>0</v>
      </c>
      <c r="S20" s="43">
        <f t="shared" si="0"/>
        <v>0</v>
      </c>
      <c r="T20" s="43">
        <f t="shared" si="1"/>
        <v>115</v>
      </c>
      <c r="U20" s="43">
        <f t="shared" si="2"/>
        <v>-1725.69</v>
      </c>
      <c r="V20" s="43">
        <f t="shared" si="3"/>
        <v>0</v>
      </c>
    </row>
    <row r="21" spans="1:24" ht="17.25" customHeight="1">
      <c r="A21" s="15" t="s">
        <v>45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55">
        <v>0</v>
      </c>
      <c r="J21" s="43">
        <v>278</v>
      </c>
      <c r="K21" s="55">
        <v>0</v>
      </c>
      <c r="L21" s="43">
        <v>0</v>
      </c>
      <c r="M21" s="55">
        <v>0</v>
      </c>
      <c r="N21" s="43">
        <v>0</v>
      </c>
      <c r="O21" s="43">
        <v>0</v>
      </c>
      <c r="P21" s="43">
        <v>0</v>
      </c>
      <c r="Q21" s="43">
        <v>0</v>
      </c>
      <c r="S21" s="43">
        <f t="shared" si="0"/>
        <v>0</v>
      </c>
      <c r="T21" s="43">
        <f t="shared" si="1"/>
        <v>0</v>
      </c>
      <c r="U21" s="43">
        <f t="shared" si="2"/>
        <v>278</v>
      </c>
      <c r="V21" s="43">
        <f t="shared" si="3"/>
        <v>0</v>
      </c>
    </row>
    <row r="22" spans="1:24" ht="17.25" customHeight="1">
      <c r="A22" s="40" t="s">
        <v>46</v>
      </c>
      <c r="B22" s="41">
        <f t="shared" ref="B22:L22" si="12">B17-B19-B20-B21</f>
        <v>540.66999999999985</v>
      </c>
      <c r="C22" s="41">
        <f t="shared" si="12"/>
        <v>545.61</v>
      </c>
      <c r="D22" s="41">
        <f t="shared" si="12"/>
        <v>792.28</v>
      </c>
      <c r="E22" s="42">
        <f t="shared" si="12"/>
        <v>-251.05999999999995</v>
      </c>
      <c r="F22" s="41">
        <f t="shared" si="12"/>
        <v>537.58000000000061</v>
      </c>
      <c r="G22" s="41">
        <f t="shared" si="12"/>
        <v>-2854.53</v>
      </c>
      <c r="H22" s="41">
        <f t="shared" si="12"/>
        <v>59.370000000000346</v>
      </c>
      <c r="I22" s="42">
        <f t="shared" si="12"/>
        <v>-206.80000000000018</v>
      </c>
      <c r="J22" s="41">
        <f t="shared" si="12"/>
        <v>660.92999999999984</v>
      </c>
      <c r="K22" s="41">
        <f t="shared" si="12"/>
        <v>52.590000000000316</v>
      </c>
      <c r="L22" s="41">
        <f t="shared" si="12"/>
        <v>-3407.91</v>
      </c>
      <c r="M22" s="42">
        <f>M17-M19-M20-M21</f>
        <v>-673.95999999999981</v>
      </c>
      <c r="N22" s="41">
        <f>N17-N19-N20-N21</f>
        <v>240.33890930234475</v>
      </c>
      <c r="O22" s="41">
        <f>O17-O19-O20-O21</f>
        <v>155.94999999999999</v>
      </c>
      <c r="P22" s="41">
        <f>P17-P19-P20-P21</f>
        <v>86.1700000000003</v>
      </c>
      <c r="Q22" s="41">
        <f>Q17-Q19-Q20-Q21</f>
        <v>25.890000000000555</v>
      </c>
      <c r="S22" s="41">
        <f t="shared" si="0"/>
        <v>1627.4999999999998</v>
      </c>
      <c r="T22" s="41">
        <f t="shared" si="1"/>
        <v>-2464.3799999999997</v>
      </c>
      <c r="U22" s="41">
        <f t="shared" si="2"/>
        <v>-3368.3499999999995</v>
      </c>
      <c r="V22" s="41">
        <f t="shared" si="3"/>
        <v>508.34890930234559</v>
      </c>
    </row>
    <row r="23" spans="1:24" ht="17.25" customHeight="1">
      <c r="A23" s="40"/>
      <c r="B23" s="41"/>
      <c r="C23" s="41"/>
      <c r="D23" s="41"/>
      <c r="E23" s="42"/>
      <c r="F23" s="41"/>
      <c r="G23" s="41"/>
      <c r="H23" s="41"/>
      <c r="I23" s="42"/>
      <c r="J23" s="41"/>
      <c r="K23" s="41"/>
      <c r="L23" s="41"/>
      <c r="M23" s="42"/>
      <c r="N23" s="41"/>
      <c r="O23" s="41"/>
      <c r="P23" s="41"/>
      <c r="Q23" s="41"/>
      <c r="S23" s="41"/>
      <c r="T23" s="41"/>
      <c r="U23" s="41"/>
      <c r="V23" s="41"/>
    </row>
    <row r="24" spans="1:24" ht="17.25" customHeight="1">
      <c r="A24" s="15" t="s">
        <v>51</v>
      </c>
      <c r="B24" s="43">
        <v>-23.63</v>
      </c>
      <c r="C24" s="43">
        <v>-120.96</v>
      </c>
      <c r="D24" s="43">
        <v>132.6</v>
      </c>
      <c r="E24" s="55">
        <v>195.6</v>
      </c>
      <c r="F24" s="43">
        <v>7613.96</v>
      </c>
      <c r="G24" s="43">
        <v>452.3</v>
      </c>
      <c r="H24" s="43">
        <v>0</v>
      </c>
      <c r="I24" s="55">
        <v>0</v>
      </c>
      <c r="J24" s="43">
        <v>0</v>
      </c>
      <c r="K24" s="43">
        <v>-64.34</v>
      </c>
      <c r="L24" s="43">
        <v>0</v>
      </c>
      <c r="M24" s="55">
        <f>0.43</f>
        <v>0.43</v>
      </c>
      <c r="N24" s="43">
        <v>0</v>
      </c>
      <c r="O24" s="43">
        <v>0</v>
      </c>
      <c r="P24" s="43">
        <v>0</v>
      </c>
      <c r="Q24" s="43">
        <v>0</v>
      </c>
      <c r="S24" s="43">
        <f t="shared" si="0"/>
        <v>183.60999999999999</v>
      </c>
      <c r="T24" s="43">
        <f t="shared" si="1"/>
        <v>8066.26</v>
      </c>
      <c r="U24" s="43">
        <f t="shared" si="2"/>
        <v>-63.910000000000004</v>
      </c>
      <c r="V24" s="43">
        <f t="shared" si="3"/>
        <v>0</v>
      </c>
    </row>
    <row r="25" spans="1:24" ht="17.25" customHeight="1">
      <c r="A25" s="15" t="s">
        <v>47</v>
      </c>
      <c r="B25" s="43">
        <v>134.11000000000001</v>
      </c>
      <c r="C25" s="43">
        <v>98.36</v>
      </c>
      <c r="D25" s="43">
        <v>210.83</v>
      </c>
      <c r="E25" s="55">
        <v>-37.11</v>
      </c>
      <c r="F25" s="43">
        <v>145.41</v>
      </c>
      <c r="G25" s="43">
        <v>-693.75</v>
      </c>
      <c r="H25" s="43">
        <v>-3431.8900000000003</v>
      </c>
      <c r="I25" s="55">
        <v>2.1799999999999908</v>
      </c>
      <c r="J25" s="43">
        <v>173.14999999999998</v>
      </c>
      <c r="K25" s="43">
        <v>10.729999999999999</v>
      </c>
      <c r="L25" s="43">
        <v>-957.51000000000056</v>
      </c>
      <c r="M25" s="55">
        <v>-821.24</v>
      </c>
      <c r="N25" s="43">
        <v>66.447731257456738</v>
      </c>
      <c r="O25" s="43">
        <v>27.229999999999997</v>
      </c>
      <c r="P25" s="43">
        <v>52.129999999999995</v>
      </c>
      <c r="Q25" s="43">
        <v>13.720000000000017</v>
      </c>
      <c r="S25" s="43">
        <f t="shared" si="0"/>
        <v>406.19000000000005</v>
      </c>
      <c r="T25" s="43">
        <f t="shared" si="1"/>
        <v>-3978.0500000000006</v>
      </c>
      <c r="U25" s="43">
        <f t="shared" si="2"/>
        <v>-1594.8700000000006</v>
      </c>
      <c r="V25" s="43">
        <f t="shared" si="3"/>
        <v>159.52773125745676</v>
      </c>
      <c r="W25" s="132"/>
    </row>
    <row r="26" spans="1:24" ht="17.25" customHeight="1">
      <c r="A26" s="15" t="s">
        <v>48</v>
      </c>
      <c r="B26" s="43">
        <v>150.86999999999998</v>
      </c>
      <c r="C26" s="43">
        <v>100.19</v>
      </c>
      <c r="D26" s="43">
        <v>173.91</v>
      </c>
      <c r="E26" s="55">
        <v>168.88</v>
      </c>
      <c r="F26" s="43">
        <v>149.30000000000001</v>
      </c>
      <c r="G26" s="43">
        <v>172.09</v>
      </c>
      <c r="H26" s="43">
        <v>54.11</v>
      </c>
      <c r="I26" s="55">
        <v>13.11</v>
      </c>
      <c r="J26" s="43">
        <v>21.06</v>
      </c>
      <c r="K26" s="43">
        <v>70.679999999999993</v>
      </c>
      <c r="L26" s="43">
        <v>72.810000000000016</v>
      </c>
      <c r="M26" s="55">
        <v>-10.82</v>
      </c>
      <c r="N26" s="43">
        <v>7.587737405375961</v>
      </c>
      <c r="O26" s="43">
        <v>34.25</v>
      </c>
      <c r="P26" s="43">
        <v>4.519999999999996</v>
      </c>
      <c r="Q26" s="43">
        <v>90.27</v>
      </c>
      <c r="S26" s="43">
        <f t="shared" si="0"/>
        <v>593.84999999999991</v>
      </c>
      <c r="T26" s="43">
        <f t="shared" si="1"/>
        <v>388.61</v>
      </c>
      <c r="U26" s="43">
        <f t="shared" si="2"/>
        <v>153.73000000000002</v>
      </c>
      <c r="V26" s="43">
        <f t="shared" si="3"/>
        <v>136.62773740537597</v>
      </c>
    </row>
    <row r="27" spans="1:24" ht="17.25" customHeight="1">
      <c r="A27" s="40" t="s">
        <v>49</v>
      </c>
      <c r="B27" s="41">
        <f t="shared" ref="B27:L27" si="13">B22+B24-B25+B26</f>
        <v>533.79999999999984</v>
      </c>
      <c r="C27" s="41">
        <f t="shared" si="13"/>
        <v>426.48</v>
      </c>
      <c r="D27" s="41">
        <f t="shared" si="13"/>
        <v>887.95999999999992</v>
      </c>
      <c r="E27" s="42">
        <f t="shared" si="13"/>
        <v>150.53000000000003</v>
      </c>
      <c r="F27" s="41">
        <f t="shared" si="13"/>
        <v>8155.4300000000012</v>
      </c>
      <c r="G27" s="41">
        <f t="shared" si="13"/>
        <v>-1536.39</v>
      </c>
      <c r="H27" s="41">
        <f t="shared" si="13"/>
        <v>3545.3700000000008</v>
      </c>
      <c r="I27" s="42">
        <f t="shared" si="13"/>
        <v>-195.87000000000018</v>
      </c>
      <c r="J27" s="41">
        <f t="shared" si="13"/>
        <v>508.83999999999986</v>
      </c>
      <c r="K27" s="41">
        <f t="shared" si="13"/>
        <v>48.200000000000308</v>
      </c>
      <c r="L27" s="41">
        <f t="shared" si="13"/>
        <v>-2377.5899999999992</v>
      </c>
      <c r="M27" s="42">
        <f>M22+M24-M25+M26</f>
        <v>136.89000000000016</v>
      </c>
      <c r="N27" s="41">
        <f>N22+N24-N25+N26</f>
        <v>181.47891545026397</v>
      </c>
      <c r="O27" s="41">
        <f>O22+O24-O25+O26</f>
        <v>162.97</v>
      </c>
      <c r="P27" s="41">
        <f>P22+P24-P25+P26</f>
        <v>38.560000000000301</v>
      </c>
      <c r="Q27" s="41">
        <f>Q22+Q24-Q25+Q26</f>
        <v>102.44000000000054</v>
      </c>
      <c r="S27" s="41">
        <f t="shared" si="0"/>
        <v>1998.7699999999998</v>
      </c>
      <c r="T27" s="41">
        <f t="shared" si="1"/>
        <v>9968.5400000000009</v>
      </c>
      <c r="U27" s="41">
        <f t="shared" si="2"/>
        <v>-1683.6599999999989</v>
      </c>
      <c r="V27" s="41">
        <f t="shared" si="3"/>
        <v>485.44891545026474</v>
      </c>
    </row>
    <row r="29" spans="1:24" ht="17.25" customHeight="1"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</row>
    <row r="30" spans="1:24" ht="17.25" customHeight="1">
      <c r="L30" s="43"/>
    </row>
    <row r="32" spans="1:24" ht="17.25" customHeight="1">
      <c r="F32" s="9"/>
    </row>
  </sheetData>
  <mergeCells count="5">
    <mergeCell ref="B1:E1"/>
    <mergeCell ref="F1:I1"/>
    <mergeCell ref="J1:M1"/>
    <mergeCell ref="N1:Q1"/>
    <mergeCell ref="S1:V1"/>
  </mergeCells>
  <pageMargins left="0.7" right="0.7" top="0.75" bottom="0.75" header="0.3" footer="0.3"/>
  <pageSetup orientation="portrait" r:id="rId1"/>
  <ignoredErrors>
    <ignoredError sqref="S4:U27 V4:V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J86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7" width="9.33203125" style="10" customWidth="1"/>
    <col min="18" max="18" width="8.6640625" style="10"/>
    <col min="19" max="22" width="9.33203125" style="10" customWidth="1"/>
    <col min="23" max="23" width="11.109375" style="10" bestFit="1" customWidth="1"/>
    <col min="24" max="25" width="10.109375" style="10" bestFit="1" customWidth="1"/>
    <col min="26" max="26" width="10" style="10" bestFit="1" customWidth="1"/>
    <col min="27" max="29" width="8.6640625" style="10"/>
    <col min="30" max="30" width="25.6640625" style="10" bestFit="1" customWidth="1"/>
    <col min="31" max="16384" width="8.6640625" style="10"/>
  </cols>
  <sheetData>
    <row r="1" spans="1:36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36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37"/>
      <c r="S2" s="18" t="s">
        <v>0</v>
      </c>
      <c r="T2" s="18" t="s">
        <v>1</v>
      </c>
      <c r="U2" s="18" t="s">
        <v>2</v>
      </c>
      <c r="V2" s="18" t="s">
        <v>15</v>
      </c>
    </row>
    <row r="3" spans="1:36" ht="17.25" customHeight="1">
      <c r="A3" s="45" t="s">
        <v>53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1"/>
      <c r="R3" s="23"/>
      <c r="S3" s="23"/>
      <c r="T3" s="23"/>
      <c r="U3" s="23"/>
      <c r="V3" s="23"/>
    </row>
    <row r="4" spans="1:36" ht="17.25" customHeight="1">
      <c r="A4" s="24" t="s">
        <v>115</v>
      </c>
      <c r="B4" s="24"/>
      <c r="C4" s="24"/>
      <c r="D4" s="24"/>
      <c r="E4" s="46"/>
      <c r="F4" s="24"/>
      <c r="G4" s="24"/>
      <c r="H4" s="24"/>
      <c r="I4" s="46"/>
      <c r="J4" s="24"/>
      <c r="K4" s="24"/>
      <c r="L4" s="24"/>
      <c r="M4" s="46"/>
      <c r="N4" s="24"/>
      <c r="O4" s="24"/>
      <c r="P4" s="24"/>
      <c r="Q4" s="24"/>
      <c r="R4" s="24"/>
      <c r="S4" s="24"/>
      <c r="T4" s="24"/>
      <c r="U4" s="24"/>
      <c r="V4" s="24"/>
      <c r="W4" s="132"/>
      <c r="Y4" s="133"/>
    </row>
    <row r="5" spans="1:36" ht="17.25" customHeight="1">
      <c r="A5" s="28" t="s">
        <v>213</v>
      </c>
      <c r="B5" s="43">
        <v>3054.5398443601939</v>
      </c>
      <c r="C5" s="43">
        <v>15339.170178659486</v>
      </c>
      <c r="D5" s="43">
        <v>14328</v>
      </c>
      <c r="E5" s="55">
        <v>14462</v>
      </c>
      <c r="F5" s="43">
        <v>14340</v>
      </c>
      <c r="G5" s="43">
        <v>15307</v>
      </c>
      <c r="H5" s="43">
        <v>16227</v>
      </c>
      <c r="I5" s="55">
        <v>16568</v>
      </c>
      <c r="J5" s="43">
        <v>17480</v>
      </c>
      <c r="K5" s="43">
        <v>18949</v>
      </c>
      <c r="L5" s="43">
        <v>20275</v>
      </c>
      <c r="M5" s="55">
        <v>22021.770546060055</v>
      </c>
      <c r="N5" s="43">
        <v>22706.078097559803</v>
      </c>
      <c r="O5" s="43">
        <v>23965.074895710895</v>
      </c>
      <c r="P5" s="43">
        <v>25287.086125313093</v>
      </c>
      <c r="Q5" s="43">
        <v>26660.988978360547</v>
      </c>
      <c r="R5" s="43"/>
      <c r="S5" s="43">
        <f>E5</f>
        <v>14462</v>
      </c>
      <c r="T5" s="43">
        <f>I5</f>
        <v>16568</v>
      </c>
      <c r="U5" s="43">
        <f>M5</f>
        <v>22021.770546060055</v>
      </c>
      <c r="V5" s="43">
        <f>Q5</f>
        <v>26660.988978360547</v>
      </c>
      <c r="W5" s="157"/>
      <c r="AA5" s="43"/>
      <c r="AC5" s="134"/>
      <c r="AD5" s="43"/>
      <c r="AE5" s="43"/>
    </row>
    <row r="6" spans="1:36" ht="17.25" customHeight="1">
      <c r="A6" s="28" t="s">
        <v>151</v>
      </c>
      <c r="B6" s="43">
        <v>1126.3900000000001</v>
      </c>
      <c r="C6" s="43">
        <v>6402.1931441999996</v>
      </c>
      <c r="D6" s="43">
        <v>6168</v>
      </c>
      <c r="E6" s="55">
        <v>5732</v>
      </c>
      <c r="F6" s="43">
        <v>5924</v>
      </c>
      <c r="G6" s="43">
        <v>6435</v>
      </c>
      <c r="H6" s="43">
        <v>7022</v>
      </c>
      <c r="I6" s="55">
        <v>6980</v>
      </c>
      <c r="J6" s="43">
        <v>7492</v>
      </c>
      <c r="K6" s="43">
        <v>8072</v>
      </c>
      <c r="L6" s="43">
        <v>9304</v>
      </c>
      <c r="M6" s="55">
        <v>10590.14210457057</v>
      </c>
      <c r="N6" s="43">
        <v>11397.727854141009</v>
      </c>
      <c r="O6" s="43">
        <v>13040.046020573549</v>
      </c>
      <c r="P6" s="43">
        <v>14740.262780693285</v>
      </c>
      <c r="Q6" s="43">
        <v>17179.597249894538</v>
      </c>
      <c r="R6" s="133"/>
      <c r="S6" s="43">
        <f t="shared" ref="S6:S14" si="0">E6</f>
        <v>5732</v>
      </c>
      <c r="T6" s="43">
        <f t="shared" ref="T6:T14" si="1">I6</f>
        <v>6980</v>
      </c>
      <c r="U6" s="43">
        <f t="shared" ref="U6:U14" si="2">M6</f>
        <v>10590.14210457057</v>
      </c>
      <c r="V6" s="43">
        <f t="shared" ref="V6:V14" si="3">Q6</f>
        <v>17179.597249894538</v>
      </c>
      <c r="W6" s="157"/>
      <c r="AC6" s="134"/>
      <c r="AD6" s="43"/>
    </row>
    <row r="7" spans="1:36" ht="17.25" customHeight="1">
      <c r="A7" s="28" t="s">
        <v>214</v>
      </c>
      <c r="B7" s="43">
        <v>0</v>
      </c>
      <c r="C7" s="43">
        <v>59</v>
      </c>
      <c r="D7" s="43">
        <v>71</v>
      </c>
      <c r="E7" s="55">
        <v>117</v>
      </c>
      <c r="F7" s="43">
        <v>175</v>
      </c>
      <c r="G7" s="43">
        <v>321</v>
      </c>
      <c r="H7" s="43">
        <v>530</v>
      </c>
      <c r="I7" s="55">
        <v>778</v>
      </c>
      <c r="J7" s="43">
        <v>1008</v>
      </c>
      <c r="K7" s="43">
        <v>1254</v>
      </c>
      <c r="L7" s="43">
        <v>1611</v>
      </c>
      <c r="M7" s="55">
        <v>2117.117544608132</v>
      </c>
      <c r="N7" s="43">
        <v>2523.5549941680197</v>
      </c>
      <c r="O7" s="43">
        <v>3076.8687782535735</v>
      </c>
      <c r="P7" s="43">
        <v>3530.3799191665721</v>
      </c>
      <c r="Q7" s="43">
        <v>4039.4305795541786</v>
      </c>
      <c r="R7" s="43"/>
      <c r="S7" s="43">
        <f t="shared" si="0"/>
        <v>117</v>
      </c>
      <c r="T7" s="43">
        <f t="shared" si="1"/>
        <v>778</v>
      </c>
      <c r="U7" s="43">
        <f t="shared" si="2"/>
        <v>2117.117544608132</v>
      </c>
      <c r="V7" s="43">
        <f t="shared" si="3"/>
        <v>4039.4305795541786</v>
      </c>
      <c r="W7" s="157"/>
      <c r="AD7" s="72"/>
    </row>
    <row r="8" spans="1:36" ht="17.25" customHeight="1">
      <c r="A8" s="28" t="s">
        <v>215</v>
      </c>
      <c r="B8" s="43">
        <v>11.790891951999981</v>
      </c>
      <c r="C8" s="43">
        <v>46</v>
      </c>
      <c r="D8" s="43">
        <v>141</v>
      </c>
      <c r="E8" s="55">
        <v>280</v>
      </c>
      <c r="F8" s="43">
        <v>532.33551306662571</v>
      </c>
      <c r="G8" s="43">
        <v>998</v>
      </c>
      <c r="H8" s="43">
        <v>1654.6657018999999</v>
      </c>
      <c r="I8" s="55">
        <v>2735</v>
      </c>
      <c r="J8" s="43">
        <v>3306.2483138882735</v>
      </c>
      <c r="K8" s="43">
        <v>3471.2940794269989</v>
      </c>
      <c r="L8" s="43">
        <v>3781</v>
      </c>
      <c r="M8" s="55">
        <v>3814.2201035299818</v>
      </c>
      <c r="N8" s="43">
        <v>3541.7502496090638</v>
      </c>
      <c r="O8" s="43">
        <v>3076.4227855588824</v>
      </c>
      <c r="P8" s="43">
        <v>2851.8082583840001</v>
      </c>
      <c r="Q8" s="43">
        <v>2898.2790656241077</v>
      </c>
      <c r="R8" s="133"/>
      <c r="S8" s="43">
        <f t="shared" si="0"/>
        <v>280</v>
      </c>
      <c r="T8" s="43">
        <f t="shared" si="1"/>
        <v>2735</v>
      </c>
      <c r="U8" s="43">
        <f t="shared" si="2"/>
        <v>3814.2201035299818</v>
      </c>
      <c r="V8" s="43">
        <f t="shared" si="3"/>
        <v>2898.2790656241077</v>
      </c>
      <c r="W8" s="157"/>
      <c r="AD8" s="134"/>
    </row>
    <row r="9" spans="1:36" ht="17.25" customHeight="1">
      <c r="A9" s="28" t="s">
        <v>216</v>
      </c>
      <c r="B9" s="43">
        <v>0</v>
      </c>
      <c r="C9" s="43">
        <v>0</v>
      </c>
      <c r="D9" s="43">
        <v>24</v>
      </c>
      <c r="E9" s="55">
        <v>138</v>
      </c>
      <c r="F9" s="43">
        <v>325.37375779400003</v>
      </c>
      <c r="G9" s="43">
        <v>627.5821964779999</v>
      </c>
      <c r="H9" s="43">
        <v>969.00130270000011</v>
      </c>
      <c r="I9" s="55">
        <v>1570</v>
      </c>
      <c r="J9" s="43">
        <v>1951.8195305328038</v>
      </c>
      <c r="K9" s="43">
        <v>2265.9361593977501</v>
      </c>
      <c r="L9" s="43">
        <v>2707</v>
      </c>
      <c r="M9" s="55">
        <v>3084.0202711168804</v>
      </c>
      <c r="N9" s="43">
        <f>3024.50489633033+362.8891814667</f>
        <v>3387.3940777970301</v>
      </c>
      <c r="O9" s="43">
        <v>3757.259693986698</v>
      </c>
      <c r="P9" s="43">
        <v>4031.4123014218831</v>
      </c>
      <c r="Q9" s="43">
        <v>4247.2421601823562</v>
      </c>
      <c r="R9" s="154"/>
      <c r="S9" s="43">
        <f t="shared" si="0"/>
        <v>138</v>
      </c>
      <c r="T9" s="43">
        <f t="shared" si="1"/>
        <v>1570</v>
      </c>
      <c r="U9" s="43">
        <f t="shared" si="2"/>
        <v>3084.0202711168804</v>
      </c>
      <c r="V9" s="43">
        <f t="shared" si="3"/>
        <v>4247.2421601823562</v>
      </c>
      <c r="W9" s="157"/>
      <c r="AD9" s="134"/>
    </row>
    <row r="10" spans="1:36" ht="17.25" customHeight="1">
      <c r="A10" s="28" t="s">
        <v>217</v>
      </c>
      <c r="B10" s="43"/>
      <c r="C10" s="43">
        <v>135</v>
      </c>
      <c r="D10" s="43">
        <v>240</v>
      </c>
      <c r="E10" s="55">
        <v>281</v>
      </c>
      <c r="F10" s="43">
        <v>472.18058176402076</v>
      </c>
      <c r="G10" s="43">
        <v>664.82033359103343</v>
      </c>
      <c r="H10" s="43">
        <v>655.85</v>
      </c>
      <c r="I10" s="55">
        <v>878</v>
      </c>
      <c r="J10" s="43">
        <v>977.87543433214489</v>
      </c>
      <c r="K10" s="43">
        <v>1119.234859823845</v>
      </c>
      <c r="L10" s="43">
        <v>1132</v>
      </c>
      <c r="M10" s="55">
        <v>1198.16162008635</v>
      </c>
      <c r="N10" s="43">
        <v>1361.5308053313022</v>
      </c>
      <c r="O10" s="43">
        <v>1495.5116051080622</v>
      </c>
      <c r="P10" s="43">
        <v>1239.6053651000002</v>
      </c>
      <c r="Q10" s="43">
        <v>971.63650124769902</v>
      </c>
      <c r="R10" s="156"/>
      <c r="S10" s="43">
        <f t="shared" si="0"/>
        <v>281</v>
      </c>
      <c r="T10" s="43">
        <f t="shared" si="1"/>
        <v>878</v>
      </c>
      <c r="U10" s="43">
        <f t="shared" si="2"/>
        <v>1198.16162008635</v>
      </c>
      <c r="V10" s="43">
        <f t="shared" si="3"/>
        <v>971.63650124769902</v>
      </c>
      <c r="W10" s="157"/>
      <c r="AD10" s="134"/>
    </row>
    <row r="11" spans="1:36" ht="17.25" customHeight="1">
      <c r="A11" s="28" t="s">
        <v>153</v>
      </c>
      <c r="B11" s="43">
        <v>0</v>
      </c>
      <c r="C11" s="43">
        <v>0</v>
      </c>
      <c r="D11" s="43">
        <v>0</v>
      </c>
      <c r="E11" s="55">
        <v>0</v>
      </c>
      <c r="F11" s="43">
        <v>0</v>
      </c>
      <c r="G11" s="43">
        <v>39.144259769000001</v>
      </c>
      <c r="H11" s="43">
        <v>378.302212</v>
      </c>
      <c r="I11" s="55">
        <v>816</v>
      </c>
      <c r="J11" s="43">
        <v>1194.9083763216372</v>
      </c>
      <c r="K11" s="43">
        <v>1655.6816892153201</v>
      </c>
      <c r="L11" s="43">
        <f>(22390+1240)/10</f>
        <v>2363</v>
      </c>
      <c r="M11" s="55">
        <v>3098.1457260198363</v>
      </c>
      <c r="N11" s="43">
        <v>3523.8521182001268</v>
      </c>
      <c r="O11" s="43">
        <v>4101.7387116687323</v>
      </c>
      <c r="P11" s="43">
        <v>4996.6543242252892</v>
      </c>
      <c r="Q11" s="43">
        <v>5974.8809012305701</v>
      </c>
      <c r="R11" s="133"/>
      <c r="S11" s="43">
        <f t="shared" si="0"/>
        <v>0</v>
      </c>
      <c r="T11" s="43">
        <f t="shared" si="1"/>
        <v>816</v>
      </c>
      <c r="U11" s="43">
        <f t="shared" si="2"/>
        <v>3098.1457260198363</v>
      </c>
      <c r="V11" s="43">
        <f t="shared" si="3"/>
        <v>5974.8809012305701</v>
      </c>
      <c r="W11" s="157"/>
      <c r="AD11" s="47"/>
    </row>
    <row r="12" spans="1:36" ht="17.25" customHeight="1">
      <c r="A12" s="28" t="s">
        <v>218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9</v>
      </c>
      <c r="K12" s="43">
        <v>37.473836673999998</v>
      </c>
      <c r="L12" s="43">
        <v>95.796016729999991</v>
      </c>
      <c r="M12" s="55">
        <v>272.9748263109999</v>
      </c>
      <c r="N12" s="43">
        <v>337.7459944769999</v>
      </c>
      <c r="O12" s="43">
        <v>500.73413875200015</v>
      </c>
      <c r="P12" s="43">
        <v>656.3666163649998</v>
      </c>
      <c r="Q12" s="43">
        <v>936.34801070000003</v>
      </c>
      <c r="R12" s="133"/>
      <c r="S12" s="43">
        <f t="shared" si="0"/>
        <v>0</v>
      </c>
      <c r="T12" s="43">
        <f t="shared" si="1"/>
        <v>0</v>
      </c>
      <c r="U12" s="43">
        <f t="shared" si="2"/>
        <v>272.9748263109999</v>
      </c>
      <c r="V12" s="43">
        <f t="shared" si="3"/>
        <v>936.34801070000003</v>
      </c>
      <c r="W12" s="157"/>
    </row>
    <row r="13" spans="1:36" ht="17.25" customHeight="1">
      <c r="A13" s="28" t="s">
        <v>10</v>
      </c>
      <c r="B13" s="43">
        <f t="shared" ref="B13:P13" si="4">B14-SUM(B5:B12)</f>
        <v>133.98831338600121</v>
      </c>
      <c r="C13" s="43">
        <f t="shared" si="4"/>
        <v>596.24985480089526</v>
      </c>
      <c r="D13" s="43">
        <f t="shared" si="4"/>
        <v>572</v>
      </c>
      <c r="E13" s="43">
        <f t="shared" si="4"/>
        <v>542</v>
      </c>
      <c r="F13" s="43">
        <f t="shared" si="4"/>
        <v>498.00547253584591</v>
      </c>
      <c r="G13" s="43">
        <f t="shared" si="4"/>
        <v>479.94905794449733</v>
      </c>
      <c r="H13" s="43">
        <f t="shared" si="4"/>
        <v>458.97423038553461</v>
      </c>
      <c r="I13" s="43">
        <f t="shared" si="4"/>
        <v>1819.3669980249942</v>
      </c>
      <c r="J13" s="43">
        <f t="shared" si="4"/>
        <v>1799.1483449251391</v>
      </c>
      <c r="K13" s="43">
        <f t="shared" si="4"/>
        <v>1779.3793754620856</v>
      </c>
      <c r="L13" s="43">
        <f t="shared" si="4"/>
        <v>1759.2039832700029</v>
      </c>
      <c r="M13" s="43">
        <f t="shared" si="4"/>
        <v>1730</v>
      </c>
      <c r="N13" s="43">
        <f t="shared" si="4"/>
        <v>1750.4062737330023</v>
      </c>
      <c r="O13" s="43">
        <f t="shared" si="4"/>
        <v>1723.0748889390015</v>
      </c>
      <c r="P13" s="43">
        <f t="shared" si="4"/>
        <v>1759.7505046251754</v>
      </c>
      <c r="Q13" s="43">
        <v>1744.0801414</v>
      </c>
      <c r="R13" s="43"/>
      <c r="S13" s="43">
        <f t="shared" si="0"/>
        <v>542</v>
      </c>
      <c r="T13" s="43">
        <f t="shared" si="1"/>
        <v>1819.3669980249942</v>
      </c>
      <c r="U13" s="43">
        <f t="shared" si="2"/>
        <v>1730</v>
      </c>
      <c r="V13" s="43">
        <f t="shared" si="3"/>
        <v>1744.0801414</v>
      </c>
      <c r="W13" s="157"/>
    </row>
    <row r="14" spans="1:36" ht="17.25" customHeight="1">
      <c r="A14" s="29" t="s">
        <v>220</v>
      </c>
      <c r="B14" s="41">
        <v>4326.7090496981946</v>
      </c>
      <c r="C14" s="41">
        <v>22577.61317766038</v>
      </c>
      <c r="D14" s="41">
        <v>21544</v>
      </c>
      <c r="E14" s="42">
        <v>21552</v>
      </c>
      <c r="F14" s="41">
        <v>22266.895325160491</v>
      </c>
      <c r="G14" s="41">
        <v>24872.495847782531</v>
      </c>
      <c r="H14" s="41">
        <v>27895.793446985532</v>
      </c>
      <c r="I14" s="42">
        <v>32144.366998024994</v>
      </c>
      <c r="J14" s="41">
        <v>35219</v>
      </c>
      <c r="K14" s="41">
        <v>38604</v>
      </c>
      <c r="L14" s="41">
        <v>43028</v>
      </c>
      <c r="M14" s="42">
        <v>47926.552742302811</v>
      </c>
      <c r="N14" s="41">
        <v>50530.040465016355</v>
      </c>
      <c r="O14" s="41">
        <v>54736.731518551394</v>
      </c>
      <c r="P14" s="41">
        <v>59093.326195294299</v>
      </c>
      <c r="Q14" s="41">
        <f>SUM(Q5:Q13)</f>
        <v>64652.483588193994</v>
      </c>
      <c r="R14" s="133"/>
      <c r="S14" s="41">
        <f t="shared" si="0"/>
        <v>21552</v>
      </c>
      <c r="T14" s="41">
        <f t="shared" si="1"/>
        <v>32144.366998024994</v>
      </c>
      <c r="U14" s="41">
        <f t="shared" si="2"/>
        <v>47926.552742302811</v>
      </c>
      <c r="V14" s="41">
        <f t="shared" si="3"/>
        <v>64652.483588193994</v>
      </c>
      <c r="W14" s="157"/>
      <c r="Y14" s="43"/>
    </row>
    <row r="15" spans="1:36" ht="17.25" customHeight="1">
      <c r="A15" s="2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133"/>
      <c r="Q15" s="133"/>
      <c r="R15" s="133"/>
      <c r="V15" s="133"/>
      <c r="W15" s="88"/>
      <c r="X15" s="41"/>
    </row>
    <row r="16" spans="1:36" ht="17.25" customHeight="1">
      <c r="A16" s="66" t="s">
        <v>224</v>
      </c>
      <c r="B16" s="66"/>
      <c r="C16" s="66"/>
      <c r="D16" s="66"/>
      <c r="E16" s="125"/>
      <c r="F16" s="66"/>
      <c r="G16" s="66"/>
      <c r="H16" s="66"/>
      <c r="I16" s="125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>
        <f>U5+U6</f>
        <v>32611.912650630627</v>
      </c>
      <c r="V16" s="66">
        <f>V5+V6</f>
        <v>43840.586228255081</v>
      </c>
      <c r="W16" s="133"/>
    </row>
    <row r="17" spans="1:23" ht="17.25" customHeight="1">
      <c r="A17" s="28" t="str">
        <f t="shared" ref="A17:A26" si="5">+A5</f>
        <v>Housing loans</v>
      </c>
      <c r="B17" s="47">
        <f t="shared" ref="B17:O17" si="6">+B5/B$14</f>
        <v>0.70597301766183251</v>
      </c>
      <c r="C17" s="47">
        <f t="shared" si="6"/>
        <v>0.67939733301113359</v>
      </c>
      <c r="D17" s="47">
        <f t="shared" si="6"/>
        <v>0.66505755662829558</v>
      </c>
      <c r="E17" s="48">
        <f t="shared" si="6"/>
        <v>0.6710282108389013</v>
      </c>
      <c r="F17" s="47">
        <f t="shared" si="6"/>
        <v>0.64400536269627628</v>
      </c>
      <c r="G17" s="47">
        <f t="shared" si="6"/>
        <v>0.61541873777675882</v>
      </c>
      <c r="H17" s="47">
        <f t="shared" si="6"/>
        <v>0.58170060768619281</v>
      </c>
      <c r="I17" s="48">
        <f t="shared" si="6"/>
        <v>0.51542467770536493</v>
      </c>
      <c r="J17" s="47">
        <f t="shared" si="6"/>
        <v>0.49632300746756014</v>
      </c>
      <c r="K17" s="47">
        <f t="shared" si="6"/>
        <v>0.4908558698580458</v>
      </c>
      <c r="L17" s="47">
        <f t="shared" si="6"/>
        <v>0.47120479687645256</v>
      </c>
      <c r="M17" s="48">
        <f t="shared" si="6"/>
        <v>0.45948997551460319</v>
      </c>
      <c r="N17" s="47">
        <f t="shared" si="6"/>
        <v>0.44935800344905685</v>
      </c>
      <c r="O17" s="47">
        <f t="shared" si="6"/>
        <v>0.43782436822316734</v>
      </c>
      <c r="P17" s="47">
        <f t="shared" ref="P17:Q17" si="7">+P5/P$14</f>
        <v>0.42791779974853988</v>
      </c>
      <c r="Q17" s="47">
        <f t="shared" si="7"/>
        <v>0.41237377899012428</v>
      </c>
      <c r="S17" s="47">
        <f t="shared" ref="S17:U26" si="8">+S5/S$14</f>
        <v>0.6710282108389013</v>
      </c>
      <c r="T17" s="47">
        <f t="shared" si="8"/>
        <v>0.51542467770536493</v>
      </c>
      <c r="U17" s="47">
        <f t="shared" si="8"/>
        <v>0.45948997551460319</v>
      </c>
      <c r="V17" s="47">
        <f t="shared" ref="V17" si="9">+V5/V$14</f>
        <v>0.41237377899012428</v>
      </c>
      <c r="W17" s="133"/>
    </row>
    <row r="18" spans="1:23" ht="17.25" customHeight="1">
      <c r="A18" s="28" t="str">
        <f t="shared" si="5"/>
        <v>LAP</v>
      </c>
      <c r="B18" s="47">
        <f t="shared" ref="B18:O18" si="10">+B6/B$14</f>
        <v>0.26033412162959524</v>
      </c>
      <c r="C18" s="47">
        <f t="shared" si="10"/>
        <v>0.28356377150330075</v>
      </c>
      <c r="D18" s="47">
        <f t="shared" si="10"/>
        <v>0.28629780913479391</v>
      </c>
      <c r="E18" s="48">
        <f t="shared" si="10"/>
        <v>0.26596139569413513</v>
      </c>
      <c r="F18" s="47">
        <f t="shared" si="10"/>
        <v>0.26604517214872669</v>
      </c>
      <c r="G18" s="47">
        <f t="shared" si="10"/>
        <v>0.25871951248405584</v>
      </c>
      <c r="H18" s="47">
        <f t="shared" si="10"/>
        <v>0.25172254065276678</v>
      </c>
      <c r="I18" s="48">
        <f t="shared" si="10"/>
        <v>0.21714535552773098</v>
      </c>
      <c r="J18" s="47">
        <f t="shared" si="10"/>
        <v>0.21272608535165677</v>
      </c>
      <c r="K18" s="47">
        <f t="shared" si="10"/>
        <v>0.20909750284944564</v>
      </c>
      <c r="L18" s="47">
        <f t="shared" si="10"/>
        <v>0.21623129125220786</v>
      </c>
      <c r="M18" s="48">
        <f t="shared" si="10"/>
        <v>0.22096607201258361</v>
      </c>
      <c r="N18" s="47">
        <f t="shared" si="10"/>
        <v>0.22556340246812268</v>
      </c>
      <c r="O18" s="47">
        <f t="shared" si="10"/>
        <v>0.23823209129967893</v>
      </c>
      <c r="P18" s="47">
        <f t="shared" ref="P18:Q18" si="11">+P6/P$14</f>
        <v>0.24944039758362893</v>
      </c>
      <c r="Q18" s="47">
        <f t="shared" si="11"/>
        <v>0.26572215476393013</v>
      </c>
      <c r="S18" s="47">
        <f t="shared" si="8"/>
        <v>0.26596139569413513</v>
      </c>
      <c r="T18" s="47">
        <f t="shared" si="8"/>
        <v>0.21714535552773098</v>
      </c>
      <c r="U18" s="47">
        <f t="shared" si="8"/>
        <v>0.22096607201258361</v>
      </c>
      <c r="V18" s="47">
        <f t="shared" ref="V18" si="12">+V6/V$14</f>
        <v>0.26572215476393013</v>
      </c>
    </row>
    <row r="19" spans="1:23" ht="17.25" customHeight="1">
      <c r="A19" s="28" t="str">
        <f t="shared" si="5"/>
        <v>Used car loans</v>
      </c>
      <c r="B19" s="47">
        <f t="shared" ref="B19:O19" si="13">+B7/B$14</f>
        <v>0</v>
      </c>
      <c r="C19" s="47">
        <f t="shared" si="13"/>
        <v>2.6132080276040017E-3</v>
      </c>
      <c r="D19" s="47">
        <f t="shared" si="13"/>
        <v>3.2955811362792423E-3</v>
      </c>
      <c r="E19" s="48">
        <f t="shared" si="13"/>
        <v>5.4287305122494431E-3</v>
      </c>
      <c r="F19" s="47">
        <f t="shared" si="13"/>
        <v>7.8592007302544179E-3</v>
      </c>
      <c r="G19" s="47">
        <f t="shared" si="13"/>
        <v>1.2905821834868986E-2</v>
      </c>
      <c r="H19" s="47">
        <f t="shared" si="13"/>
        <v>1.8999280339784447E-2</v>
      </c>
      <c r="I19" s="48">
        <f t="shared" si="13"/>
        <v>2.4203307535898954E-2</v>
      </c>
      <c r="J19" s="47">
        <f t="shared" si="13"/>
        <v>2.8620914847099575E-2</v>
      </c>
      <c r="K19" s="47">
        <f t="shared" si="13"/>
        <v>3.248368044762201E-2</v>
      </c>
      <c r="L19" s="47">
        <f t="shared" si="13"/>
        <v>3.7440736264757829E-2</v>
      </c>
      <c r="M19" s="48">
        <f t="shared" si="13"/>
        <v>4.4174208731258047E-2</v>
      </c>
      <c r="N19" s="47">
        <f t="shared" si="13"/>
        <v>4.9941677682113904E-2</v>
      </c>
      <c r="O19" s="47">
        <f t="shared" si="13"/>
        <v>5.6212139323860794E-2</v>
      </c>
      <c r="P19" s="47">
        <f t="shared" ref="P19:Q19" si="14">+P7/P$14</f>
        <v>5.9742447184293078E-2</v>
      </c>
      <c r="Q19" s="47">
        <f t="shared" si="14"/>
        <v>6.2479124627036101E-2</v>
      </c>
      <c r="R19" s="43"/>
      <c r="S19" s="47">
        <f t="shared" si="8"/>
        <v>5.4287305122494431E-3</v>
      </c>
      <c r="T19" s="47">
        <f t="shared" si="8"/>
        <v>2.4203307535898954E-2</v>
      </c>
      <c r="U19" s="47">
        <f t="shared" si="8"/>
        <v>4.4174208731258047E-2</v>
      </c>
      <c r="V19" s="47">
        <f t="shared" ref="V19" si="15">+V7/V$14</f>
        <v>6.2479124627036101E-2</v>
      </c>
    </row>
    <row r="20" spans="1:23" ht="17.25" customHeight="1">
      <c r="A20" s="28" t="str">
        <f t="shared" si="5"/>
        <v>Digital loans</v>
      </c>
      <c r="B20" s="47">
        <f t="shared" ref="B20:O20" si="16">+B8/B$14</f>
        <v>2.7251409365791407E-3</v>
      </c>
      <c r="C20" s="47">
        <f t="shared" si="16"/>
        <v>2.0374164283014249E-3</v>
      </c>
      <c r="D20" s="47">
        <f t="shared" si="16"/>
        <v>6.544745636836242E-3</v>
      </c>
      <c r="E20" s="48">
        <f t="shared" si="16"/>
        <v>1.2991833704528583E-2</v>
      </c>
      <c r="F20" s="47">
        <f t="shared" si="16"/>
        <v>2.3907038017334771E-2</v>
      </c>
      <c r="G20" s="47">
        <f t="shared" si="16"/>
        <v>4.0124642340184577E-2</v>
      </c>
      <c r="H20" s="47">
        <f t="shared" si="16"/>
        <v>5.9315957620800566E-2</v>
      </c>
      <c r="I20" s="48">
        <f t="shared" si="16"/>
        <v>8.5084892173115226E-2</v>
      </c>
      <c r="J20" s="47">
        <f t="shared" si="16"/>
        <v>9.3876836761074237E-2</v>
      </c>
      <c r="K20" s="47">
        <f t="shared" si="16"/>
        <v>8.9920580235908168E-2</v>
      </c>
      <c r="L20" s="47">
        <f t="shared" si="16"/>
        <v>8.7873012921818344E-2</v>
      </c>
      <c r="M20" s="48">
        <f t="shared" si="16"/>
        <v>7.9584695440933009E-2</v>
      </c>
      <c r="N20" s="47">
        <f t="shared" si="16"/>
        <v>7.0091973349222556E-2</v>
      </c>
      <c r="O20" s="47">
        <f t="shared" si="16"/>
        <v>5.6203991363938492E-2</v>
      </c>
      <c r="P20" s="47">
        <f t="shared" ref="P20:Q20" si="17">+P8/P$14</f>
        <v>4.82593964834407E-2</v>
      </c>
      <c r="Q20" s="47">
        <f t="shared" si="17"/>
        <v>4.4828580508751784E-2</v>
      </c>
      <c r="S20" s="47">
        <f t="shared" si="8"/>
        <v>1.2991833704528583E-2</v>
      </c>
      <c r="T20" s="47">
        <f t="shared" si="8"/>
        <v>8.5084892173115226E-2</v>
      </c>
      <c r="U20" s="47">
        <f t="shared" si="8"/>
        <v>7.9584695440933009E-2</v>
      </c>
      <c r="V20" s="47">
        <f t="shared" ref="V20" si="18">+V8/V$14</f>
        <v>4.4828580508751784E-2</v>
      </c>
    </row>
    <row r="21" spans="1:23" ht="17.25" customHeight="1">
      <c r="A21" s="28" t="str">
        <f t="shared" si="5"/>
        <v>Business loans (ex-Microfinance)</v>
      </c>
      <c r="B21" s="47">
        <f t="shared" ref="B21:O21" si="19">+B9/B$14</f>
        <v>0</v>
      </c>
      <c r="C21" s="47">
        <f t="shared" si="19"/>
        <v>0</v>
      </c>
      <c r="D21" s="47">
        <f t="shared" si="19"/>
        <v>1.1139992573338284E-3</v>
      </c>
      <c r="E21" s="48">
        <f t="shared" si="19"/>
        <v>6.4031180400890867E-3</v>
      </c>
      <c r="F21" s="47">
        <f t="shared" si="19"/>
        <v>1.4612443856344165E-2</v>
      </c>
      <c r="G21" s="47">
        <f t="shared" si="19"/>
        <v>2.5231975122993175E-2</v>
      </c>
      <c r="H21" s="47">
        <f t="shared" si="19"/>
        <v>3.4736466791723826E-2</v>
      </c>
      <c r="I21" s="48">
        <f t="shared" si="19"/>
        <v>4.8842150168844932E-2</v>
      </c>
      <c r="J21" s="47">
        <f t="shared" si="19"/>
        <v>5.5419504543933781E-2</v>
      </c>
      <c r="K21" s="47">
        <f t="shared" si="19"/>
        <v>5.8696926727741947E-2</v>
      </c>
      <c r="L21" s="47">
        <f t="shared" si="19"/>
        <v>6.2912522078646463E-2</v>
      </c>
      <c r="M21" s="48">
        <f t="shared" si="19"/>
        <v>6.4348885839951964E-2</v>
      </c>
      <c r="N21" s="47">
        <f t="shared" si="19"/>
        <v>6.7037232636736888E-2</v>
      </c>
      <c r="O21" s="47">
        <f t="shared" si="19"/>
        <v>6.8642383089923556E-2</v>
      </c>
      <c r="P21" s="47">
        <f t="shared" ref="P21:Q21" si="20">+P9/P$14</f>
        <v>6.8221109911780722E-2</v>
      </c>
      <c r="Q21" s="47">
        <f t="shared" si="20"/>
        <v>6.5693410747146186E-2</v>
      </c>
      <c r="S21" s="47">
        <f t="shared" si="8"/>
        <v>6.4031180400890867E-3</v>
      </c>
      <c r="T21" s="47">
        <f t="shared" si="8"/>
        <v>4.8842150168844932E-2</v>
      </c>
      <c r="U21" s="47">
        <f t="shared" si="8"/>
        <v>6.4348885839951964E-2</v>
      </c>
      <c r="V21" s="47">
        <f t="shared" ref="V21" si="21">+V9/V$14</f>
        <v>6.5693410747146186E-2</v>
      </c>
    </row>
    <row r="22" spans="1:23" ht="17.25" customHeight="1">
      <c r="A22" s="28" t="str">
        <f t="shared" si="5"/>
        <v>Microfinance</v>
      </c>
      <c r="B22" s="47">
        <f t="shared" ref="B22:O22" si="22">+B10/B$14</f>
        <v>0</v>
      </c>
      <c r="C22" s="47">
        <f t="shared" si="22"/>
        <v>5.9793743004498343E-3</v>
      </c>
      <c r="D22" s="47">
        <f t="shared" si="22"/>
        <v>1.1139992573338284E-2</v>
      </c>
      <c r="E22" s="48">
        <f t="shared" si="22"/>
        <v>1.3038233110616184E-2</v>
      </c>
      <c r="F22" s="47">
        <f t="shared" si="22"/>
        <v>2.1205496988638557E-2</v>
      </c>
      <c r="G22" s="47">
        <f t="shared" si="22"/>
        <v>2.6729136378579575E-2</v>
      </c>
      <c r="H22" s="47">
        <f t="shared" si="22"/>
        <v>2.3510713228014395E-2</v>
      </c>
      <c r="I22" s="48">
        <f t="shared" si="22"/>
        <v>2.7314272514806275E-2</v>
      </c>
      <c r="J22" s="47">
        <f t="shared" si="22"/>
        <v>2.7765565016955193E-2</v>
      </c>
      <c r="K22" s="47">
        <f t="shared" si="22"/>
        <v>2.8992717330428065E-2</v>
      </c>
      <c r="L22" s="47">
        <f t="shared" si="22"/>
        <v>2.6308450311425119E-2</v>
      </c>
      <c r="M22" s="48">
        <f t="shared" si="22"/>
        <v>2.4999954128325647E-2</v>
      </c>
      <c r="N22" s="47">
        <f t="shared" si="22"/>
        <v>2.6944977538142598E-2</v>
      </c>
      <c r="O22" s="47">
        <f t="shared" si="22"/>
        <v>2.7321901831153416E-2</v>
      </c>
      <c r="P22" s="47">
        <f t="shared" ref="P22:Q22" si="23">+P10/P$14</f>
        <v>2.0977078883718549E-2</v>
      </c>
      <c r="Q22" s="47">
        <f t="shared" si="23"/>
        <v>1.5028602883016343E-2</v>
      </c>
      <c r="R22" s="43"/>
      <c r="S22" s="47">
        <f t="shared" si="8"/>
        <v>1.3038233110616184E-2</v>
      </c>
      <c r="T22" s="47">
        <f t="shared" si="8"/>
        <v>2.7314272514806275E-2</v>
      </c>
      <c r="U22" s="47">
        <f t="shared" si="8"/>
        <v>2.4999954128325647E-2</v>
      </c>
      <c r="V22" s="47">
        <f t="shared" ref="V22" si="24">+V10/V$14</f>
        <v>1.5028602883016343E-2</v>
      </c>
    </row>
    <row r="23" spans="1:23" ht="17.25" customHeight="1">
      <c r="A23" s="28" t="str">
        <f t="shared" si="5"/>
        <v>Salaried PL</v>
      </c>
      <c r="B23" s="47">
        <f t="shared" ref="B23:O23" si="25">+B11/B$14</f>
        <v>0</v>
      </c>
      <c r="C23" s="47">
        <f t="shared" si="25"/>
        <v>0</v>
      </c>
      <c r="D23" s="47">
        <f t="shared" si="25"/>
        <v>0</v>
      </c>
      <c r="E23" s="48">
        <f t="shared" si="25"/>
        <v>0</v>
      </c>
      <c r="F23" s="47">
        <f t="shared" si="25"/>
        <v>0</v>
      </c>
      <c r="G23" s="47">
        <f t="shared" si="25"/>
        <v>1.5737970169362736E-3</v>
      </c>
      <c r="H23" s="47">
        <f t="shared" si="25"/>
        <v>1.3561263733865223E-2</v>
      </c>
      <c r="I23" s="48">
        <f t="shared" si="25"/>
        <v>2.5385474227883738E-2</v>
      </c>
      <c r="J23" s="47">
        <f t="shared" si="25"/>
        <v>3.3927947310305157E-2</v>
      </c>
      <c r="K23" s="47">
        <f t="shared" si="25"/>
        <v>4.2888863568938972E-2</v>
      </c>
      <c r="L23" s="47">
        <f t="shared" si="25"/>
        <v>5.4917727991075575E-2</v>
      </c>
      <c r="M23" s="48">
        <f t="shared" si="25"/>
        <v>6.4643617133873885E-2</v>
      </c>
      <c r="N23" s="47">
        <f t="shared" si="25"/>
        <v>6.973776560974275E-2</v>
      </c>
      <c r="O23" s="47">
        <f t="shared" si="25"/>
        <v>7.4935762473843898E-2</v>
      </c>
      <c r="P23" s="47">
        <f t="shared" ref="P23:Q23" si="26">+P11/P$14</f>
        <v>8.4555306765304081E-2</v>
      </c>
      <c r="Q23" s="47">
        <f t="shared" si="26"/>
        <v>9.2415334564527482E-2</v>
      </c>
      <c r="R23" s="133"/>
      <c r="S23" s="47">
        <f t="shared" si="8"/>
        <v>0</v>
      </c>
      <c r="T23" s="47">
        <f t="shared" si="8"/>
        <v>2.5385474227883738E-2</v>
      </c>
      <c r="U23" s="47">
        <f t="shared" si="8"/>
        <v>6.4643617133873885E-2</v>
      </c>
      <c r="V23" s="47">
        <f t="shared" ref="V23" si="27">+V11/V$14</f>
        <v>9.2415334564527482E-2</v>
      </c>
    </row>
    <row r="24" spans="1:23" ht="17.25" customHeight="1">
      <c r="A24" s="28" t="str">
        <f t="shared" si="5"/>
        <v>Loan against Mutual Funds</v>
      </c>
      <c r="B24" s="47">
        <f t="shared" ref="B24:O24" si="28">+B12/B$14</f>
        <v>0</v>
      </c>
      <c r="C24" s="47">
        <f t="shared" si="28"/>
        <v>0</v>
      </c>
      <c r="D24" s="47">
        <f t="shared" si="28"/>
        <v>0</v>
      </c>
      <c r="E24" s="48">
        <f t="shared" si="28"/>
        <v>0</v>
      </c>
      <c r="F24" s="47">
        <f t="shared" si="28"/>
        <v>0</v>
      </c>
      <c r="G24" s="47">
        <f t="shared" si="28"/>
        <v>0</v>
      </c>
      <c r="H24" s="47">
        <f t="shared" si="28"/>
        <v>0</v>
      </c>
      <c r="I24" s="48">
        <f t="shared" si="28"/>
        <v>0</v>
      </c>
      <c r="J24" s="47">
        <f t="shared" si="28"/>
        <v>2.5554388256338907E-4</v>
      </c>
      <c r="K24" s="47">
        <f t="shared" si="28"/>
        <v>9.7072419112009106E-4</v>
      </c>
      <c r="L24" s="47">
        <f t="shared" si="28"/>
        <v>2.2263646167611784E-3</v>
      </c>
      <c r="M24" s="48">
        <f t="shared" si="28"/>
        <v>5.695690816294746E-3</v>
      </c>
      <c r="N24" s="47">
        <f t="shared" si="28"/>
        <v>6.6840634080004907E-3</v>
      </c>
      <c r="O24" s="47">
        <f t="shared" si="28"/>
        <v>9.1480460170021496E-3</v>
      </c>
      <c r="P24" s="47">
        <f t="shared" ref="P24:Q24" si="29">+P12/P$14</f>
        <v>1.1107288396591685E-2</v>
      </c>
      <c r="Q24" s="47">
        <f t="shared" si="29"/>
        <v>1.4482784863518899E-2</v>
      </c>
      <c r="S24" s="47">
        <f t="shared" si="8"/>
        <v>0</v>
      </c>
      <c r="T24" s="47">
        <f t="shared" si="8"/>
        <v>0</v>
      </c>
      <c r="U24" s="47">
        <f t="shared" si="8"/>
        <v>5.695690816294746E-3</v>
      </c>
      <c r="V24" s="47">
        <f t="shared" ref="V24" si="30">+V12/V$14</f>
        <v>1.4482784863518899E-2</v>
      </c>
    </row>
    <row r="25" spans="1:23" ht="17.25" customHeight="1">
      <c r="A25" s="28" t="str">
        <f t="shared" si="5"/>
        <v>Other</v>
      </c>
      <c r="B25" s="47">
        <f t="shared" ref="B25:O25" si="31">+B13/B$14</f>
        <v>3.0967719771993321E-2</v>
      </c>
      <c r="C25" s="47">
        <f t="shared" si="31"/>
        <v>2.6408896729210509E-2</v>
      </c>
      <c r="D25" s="47">
        <f t="shared" si="31"/>
        <v>2.655031563312291E-2</v>
      </c>
      <c r="E25" s="48">
        <f t="shared" si="31"/>
        <v>2.5148478099480325E-2</v>
      </c>
      <c r="F25" s="47">
        <f t="shared" si="31"/>
        <v>2.2365285562425237E-2</v>
      </c>
      <c r="G25" s="47">
        <f t="shared" si="31"/>
        <v>1.9296377045622724E-2</v>
      </c>
      <c r="H25" s="47">
        <f t="shared" si="31"/>
        <v>1.6453169946852048E-2</v>
      </c>
      <c r="I25" s="48">
        <f t="shared" si="31"/>
        <v>5.6599870146355015E-2</v>
      </c>
      <c r="J25" s="47">
        <f t="shared" si="31"/>
        <v>5.1084594818851733E-2</v>
      </c>
      <c r="K25" s="47">
        <f t="shared" si="31"/>
        <v>4.6093134790749293E-2</v>
      </c>
      <c r="L25" s="47">
        <f t="shared" si="31"/>
        <v>4.0885097686855137E-2</v>
      </c>
      <c r="M25" s="48">
        <f t="shared" si="31"/>
        <v>3.609690038217582E-2</v>
      </c>
      <c r="N25" s="47">
        <f t="shared" si="31"/>
        <v>3.4640903858861295E-2</v>
      </c>
      <c r="O25" s="47">
        <f t="shared" si="31"/>
        <v>3.147931637743142E-2</v>
      </c>
      <c r="P25" s="47">
        <f t="shared" ref="P25:Q25" si="32">+P13/P$14</f>
        <v>2.9779175042702322E-2</v>
      </c>
      <c r="Q25" s="47">
        <f t="shared" si="32"/>
        <v>2.6976228051948829E-2</v>
      </c>
      <c r="S25" s="47">
        <f t="shared" si="8"/>
        <v>2.5148478099480325E-2</v>
      </c>
      <c r="T25" s="47">
        <f t="shared" si="8"/>
        <v>5.6599870146355015E-2</v>
      </c>
      <c r="U25" s="47">
        <f t="shared" si="8"/>
        <v>3.609690038217582E-2</v>
      </c>
      <c r="V25" s="47">
        <f t="shared" ref="V25" si="33">+V13/V$14</f>
        <v>2.6976228051948829E-2</v>
      </c>
    </row>
    <row r="26" spans="1:23" ht="17.25" customHeight="1">
      <c r="A26" s="29" t="str">
        <f t="shared" si="5"/>
        <v xml:space="preserve">Total Retail </v>
      </c>
      <c r="B26" s="50">
        <f t="shared" ref="B26:O26" si="34">+B14/B$14</f>
        <v>1</v>
      </c>
      <c r="C26" s="50">
        <f t="shared" si="34"/>
        <v>1</v>
      </c>
      <c r="D26" s="50">
        <f t="shared" si="34"/>
        <v>1</v>
      </c>
      <c r="E26" s="51">
        <f t="shared" si="34"/>
        <v>1</v>
      </c>
      <c r="F26" s="50">
        <f t="shared" si="34"/>
        <v>1</v>
      </c>
      <c r="G26" s="50">
        <f t="shared" si="34"/>
        <v>1</v>
      </c>
      <c r="H26" s="50">
        <f t="shared" si="34"/>
        <v>1</v>
      </c>
      <c r="I26" s="51">
        <f t="shared" si="34"/>
        <v>1</v>
      </c>
      <c r="J26" s="50">
        <f t="shared" si="34"/>
        <v>1</v>
      </c>
      <c r="K26" s="50">
        <f t="shared" si="34"/>
        <v>1</v>
      </c>
      <c r="L26" s="50">
        <f t="shared" si="34"/>
        <v>1</v>
      </c>
      <c r="M26" s="51">
        <f t="shared" si="34"/>
        <v>1</v>
      </c>
      <c r="N26" s="50">
        <f t="shared" si="34"/>
        <v>1</v>
      </c>
      <c r="O26" s="50">
        <f t="shared" si="34"/>
        <v>1</v>
      </c>
      <c r="P26" s="50">
        <f t="shared" ref="P26:Q26" si="35">+P14/P$14</f>
        <v>1</v>
      </c>
      <c r="Q26" s="50">
        <f t="shared" si="35"/>
        <v>1</v>
      </c>
      <c r="R26" s="52"/>
      <c r="S26" s="50">
        <f t="shared" si="8"/>
        <v>1</v>
      </c>
      <c r="T26" s="50">
        <f t="shared" si="8"/>
        <v>1</v>
      </c>
      <c r="U26" s="50">
        <f t="shared" si="8"/>
        <v>1</v>
      </c>
      <c r="V26" s="50">
        <f t="shared" ref="V26" si="36">+V14/V$14</f>
        <v>1</v>
      </c>
    </row>
    <row r="27" spans="1:23" ht="17.25" customHeight="1">
      <c r="A27" s="28"/>
      <c r="B27" s="9"/>
      <c r="C27" s="9"/>
      <c r="D27" s="9"/>
      <c r="E27" s="53"/>
      <c r="F27" s="9"/>
      <c r="G27" s="9"/>
      <c r="H27" s="9"/>
      <c r="I27" s="53"/>
      <c r="J27" s="9"/>
      <c r="K27" s="9"/>
      <c r="L27" s="9"/>
      <c r="M27" s="53"/>
    </row>
    <row r="28" spans="1:23" ht="17.25" customHeight="1">
      <c r="A28" s="24" t="s">
        <v>116</v>
      </c>
      <c r="B28" s="24"/>
      <c r="C28" s="24"/>
      <c r="D28" s="24"/>
      <c r="E28" s="46"/>
      <c r="F28" s="24"/>
      <c r="G28" s="24"/>
      <c r="H28" s="24"/>
      <c r="I28" s="46"/>
      <c r="J28" s="24"/>
      <c r="K28" s="24"/>
      <c r="L28" s="24"/>
      <c r="M28" s="46"/>
      <c r="N28" s="24"/>
      <c r="O28" s="24"/>
      <c r="P28" s="24"/>
      <c r="Q28" s="24"/>
      <c r="R28" s="24"/>
      <c r="S28" s="24"/>
      <c r="T28" s="24"/>
      <c r="U28" s="24"/>
      <c r="V28" s="24"/>
    </row>
    <row r="29" spans="1:23" ht="17.25" customHeight="1">
      <c r="A29" s="28" t="s">
        <v>157</v>
      </c>
      <c r="B29" s="43">
        <v>0</v>
      </c>
      <c r="C29" s="43">
        <v>0</v>
      </c>
      <c r="D29" s="43">
        <v>0</v>
      </c>
      <c r="E29" s="55">
        <v>0</v>
      </c>
      <c r="F29" s="43">
        <v>0</v>
      </c>
      <c r="G29" s="43">
        <v>25</v>
      </c>
      <c r="H29" s="43">
        <v>696.6</v>
      </c>
      <c r="I29" s="55">
        <v>1296</v>
      </c>
      <c r="J29" s="43">
        <v>1428</v>
      </c>
      <c r="K29" s="43">
        <v>2593</v>
      </c>
      <c r="L29" s="43">
        <v>3468.0776806484296</v>
      </c>
      <c r="M29" s="55">
        <v>4243.1349863880314</v>
      </c>
      <c r="N29" s="43">
        <v>4915.1690070920904</v>
      </c>
      <c r="O29" s="43">
        <v>5900.8240961045567</v>
      </c>
      <c r="P29" s="43">
        <v>6744.1078936123185</v>
      </c>
      <c r="Q29" s="43">
        <v>6679.571024634125</v>
      </c>
      <c r="R29" s="43"/>
      <c r="S29" s="43">
        <f>E29</f>
        <v>0</v>
      </c>
      <c r="T29" s="43">
        <f>I29</f>
        <v>1296</v>
      </c>
      <c r="U29" s="43">
        <f>M29</f>
        <v>4243.1349863880314</v>
      </c>
      <c r="V29" s="43">
        <f>Q29</f>
        <v>6679.571024634125</v>
      </c>
    </row>
    <row r="30" spans="1:23" ht="17.25" customHeight="1">
      <c r="A30" s="28" t="s">
        <v>12</v>
      </c>
      <c r="B30" s="43">
        <v>0</v>
      </c>
      <c r="C30" s="43">
        <v>50.004934274154508</v>
      </c>
      <c r="D30" s="43">
        <v>199</v>
      </c>
      <c r="E30" s="55">
        <v>458</v>
      </c>
      <c r="F30" s="43">
        <v>669</v>
      </c>
      <c r="G30" s="43">
        <v>804</v>
      </c>
      <c r="H30" s="43">
        <v>1173.7</v>
      </c>
      <c r="I30" s="55">
        <v>1496</v>
      </c>
      <c r="J30" s="43">
        <v>1617</v>
      </c>
      <c r="K30" s="43">
        <v>1908</v>
      </c>
      <c r="L30" s="43">
        <v>2093.7345748176594</v>
      </c>
      <c r="M30" s="55">
        <v>2103.4473483043162</v>
      </c>
      <c r="N30" s="43">
        <v>2155.5635201351351</v>
      </c>
      <c r="O30" s="43">
        <v>1988.2606901144698</v>
      </c>
      <c r="P30" s="43">
        <v>2171.6999999999998</v>
      </c>
      <c r="Q30" s="43">
        <v>2437.27</v>
      </c>
      <c r="R30" s="43"/>
      <c r="S30" s="43">
        <f>E30</f>
        <v>458</v>
      </c>
      <c r="T30" s="43">
        <f>I30</f>
        <v>1496</v>
      </c>
      <c r="U30" s="43">
        <f>M30</f>
        <v>2103.4473483043162</v>
      </c>
      <c r="V30" s="43">
        <f t="shared" ref="V30:V31" si="37">Q30</f>
        <v>2437.27</v>
      </c>
    </row>
    <row r="31" spans="1:23" ht="17.25" customHeight="1">
      <c r="A31" s="29" t="s">
        <v>221</v>
      </c>
      <c r="B31" s="41">
        <f t="shared" ref="B31:Q31" si="38">B29+B30</f>
        <v>0</v>
      </c>
      <c r="C31" s="41">
        <f t="shared" si="38"/>
        <v>50.004934274154508</v>
      </c>
      <c r="D31" s="41">
        <f t="shared" si="38"/>
        <v>199</v>
      </c>
      <c r="E31" s="42">
        <f t="shared" si="38"/>
        <v>458</v>
      </c>
      <c r="F31" s="41">
        <f t="shared" si="38"/>
        <v>669</v>
      </c>
      <c r="G31" s="41">
        <f t="shared" si="38"/>
        <v>829</v>
      </c>
      <c r="H31" s="41">
        <f t="shared" si="38"/>
        <v>1870.3000000000002</v>
      </c>
      <c r="I31" s="42">
        <f t="shared" si="38"/>
        <v>2792</v>
      </c>
      <c r="J31" s="41">
        <f t="shared" si="38"/>
        <v>3045</v>
      </c>
      <c r="K31" s="41">
        <f t="shared" si="38"/>
        <v>4501</v>
      </c>
      <c r="L31" s="41">
        <f t="shared" si="38"/>
        <v>5561.8122554660895</v>
      </c>
      <c r="M31" s="42">
        <f t="shared" si="38"/>
        <v>6346.582334692348</v>
      </c>
      <c r="N31" s="41">
        <f t="shared" si="38"/>
        <v>7070.7325272272255</v>
      </c>
      <c r="O31" s="41">
        <f t="shared" si="38"/>
        <v>7889.0847862190267</v>
      </c>
      <c r="P31" s="41">
        <f t="shared" si="38"/>
        <v>8915.8078936123184</v>
      </c>
      <c r="Q31" s="41">
        <f t="shared" si="38"/>
        <v>9116.8410246341246</v>
      </c>
      <c r="R31" s="133"/>
      <c r="S31" s="41">
        <f>E31</f>
        <v>458</v>
      </c>
      <c r="T31" s="41">
        <f>I31</f>
        <v>2792</v>
      </c>
      <c r="U31" s="41">
        <f>M31</f>
        <v>6346.582334692348</v>
      </c>
      <c r="V31" s="41">
        <f t="shared" si="37"/>
        <v>9116.8410246341246</v>
      </c>
    </row>
    <row r="32" spans="1:23" ht="17.25" customHeight="1">
      <c r="A32" s="2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133"/>
      <c r="S32" s="41"/>
      <c r="T32" s="41"/>
      <c r="U32" s="41"/>
      <c r="V32" s="41"/>
    </row>
    <row r="33" spans="1:26" ht="17.25" customHeight="1">
      <c r="A33" s="66" t="s">
        <v>223</v>
      </c>
      <c r="B33" s="66"/>
      <c r="C33" s="66"/>
      <c r="D33" s="66"/>
      <c r="E33" s="125"/>
      <c r="F33" s="66"/>
      <c r="G33" s="66"/>
      <c r="H33" s="66"/>
      <c r="I33" s="125"/>
      <c r="J33" s="66"/>
      <c r="K33" s="66"/>
      <c r="L33" s="66"/>
      <c r="M33" s="125"/>
      <c r="N33" s="66"/>
      <c r="O33" s="66"/>
      <c r="P33" s="66"/>
      <c r="Q33" s="66"/>
      <c r="R33" s="66"/>
      <c r="S33" s="66"/>
      <c r="T33" s="66"/>
      <c r="U33" s="66"/>
      <c r="V33" s="66"/>
    </row>
    <row r="34" spans="1:26" ht="17.25" customHeight="1">
      <c r="A34" s="28" t="str">
        <f>A29</f>
        <v>Real estate</v>
      </c>
      <c r="B34" s="52"/>
      <c r="C34" s="52">
        <f t="shared" ref="C34:O34" si="39">C29/C31</f>
        <v>0</v>
      </c>
      <c r="D34" s="52">
        <f t="shared" si="39"/>
        <v>0</v>
      </c>
      <c r="E34" s="52">
        <f t="shared" si="39"/>
        <v>0</v>
      </c>
      <c r="F34" s="52">
        <f t="shared" si="39"/>
        <v>0</v>
      </c>
      <c r="G34" s="52">
        <f t="shared" si="39"/>
        <v>3.0156815440289506E-2</v>
      </c>
      <c r="H34" s="52">
        <f t="shared" si="39"/>
        <v>0.37245361706678071</v>
      </c>
      <c r="I34" s="52">
        <f t="shared" si="39"/>
        <v>0.46418338108882523</v>
      </c>
      <c r="J34" s="52">
        <f t="shared" si="39"/>
        <v>0.4689655172413793</v>
      </c>
      <c r="K34" s="52">
        <f t="shared" si="39"/>
        <v>0.57609420128860256</v>
      </c>
      <c r="L34" s="52">
        <f t="shared" si="39"/>
        <v>0.62355173482169235</v>
      </c>
      <c r="M34" s="52">
        <f t="shared" si="39"/>
        <v>0.66857006852235512</v>
      </c>
      <c r="N34" s="52">
        <f t="shared" si="39"/>
        <v>0.69514282829470353</v>
      </c>
      <c r="O34" s="52">
        <f t="shared" si="39"/>
        <v>0.74797321311749054</v>
      </c>
      <c r="P34" s="52">
        <f t="shared" ref="P34:Q34" si="40">P29/P31</f>
        <v>0.75642140051538098</v>
      </c>
      <c r="Q34" s="52">
        <f t="shared" si="40"/>
        <v>0.73266288252538536</v>
      </c>
      <c r="S34" s="52">
        <f>S29/S31</f>
        <v>0</v>
      </c>
      <c r="T34" s="52">
        <f>T29/T31</f>
        <v>0.46418338108882523</v>
      </c>
      <c r="U34" s="52">
        <f>U29/U31</f>
        <v>0.66857006852235512</v>
      </c>
      <c r="V34" s="52">
        <f>V29/V31</f>
        <v>0.73266288252538536</v>
      </c>
    </row>
    <row r="35" spans="1:26" ht="17.25" customHeight="1">
      <c r="A35" s="28" t="str">
        <f>A30</f>
        <v>CMML</v>
      </c>
      <c r="B35" s="52"/>
      <c r="C35" s="52">
        <f t="shared" ref="C35:O35" si="41">C30/C31</f>
        <v>1</v>
      </c>
      <c r="D35" s="52">
        <f t="shared" si="41"/>
        <v>1</v>
      </c>
      <c r="E35" s="52">
        <f t="shared" si="41"/>
        <v>1</v>
      </c>
      <c r="F35" s="52">
        <f t="shared" si="41"/>
        <v>1</v>
      </c>
      <c r="G35" s="52">
        <f t="shared" si="41"/>
        <v>0.96984318455971052</v>
      </c>
      <c r="H35" s="52">
        <f t="shared" si="41"/>
        <v>0.62754638293321918</v>
      </c>
      <c r="I35" s="52">
        <f t="shared" si="41"/>
        <v>0.53581661891117482</v>
      </c>
      <c r="J35" s="52">
        <f t="shared" si="41"/>
        <v>0.53103448275862064</v>
      </c>
      <c r="K35" s="52">
        <f t="shared" si="41"/>
        <v>0.42390579871139744</v>
      </c>
      <c r="L35" s="52">
        <f t="shared" si="41"/>
        <v>0.3764482651783076</v>
      </c>
      <c r="M35" s="52">
        <f t="shared" si="41"/>
        <v>0.33142993147764482</v>
      </c>
      <c r="N35" s="52">
        <f t="shared" si="41"/>
        <v>0.30485717170529647</v>
      </c>
      <c r="O35" s="52">
        <f t="shared" si="41"/>
        <v>0.2520267868825094</v>
      </c>
      <c r="P35" s="52">
        <f t="shared" ref="P35:Q35" si="42">P30/P31</f>
        <v>0.24357859948461905</v>
      </c>
      <c r="Q35" s="52">
        <f t="shared" si="42"/>
        <v>0.26733711747461475</v>
      </c>
      <c r="S35" s="52">
        <f>S30/S31</f>
        <v>1</v>
      </c>
      <c r="T35" s="52">
        <f>T30/T31</f>
        <v>0.53581661891117482</v>
      </c>
      <c r="U35" s="52">
        <f>U30/U31</f>
        <v>0.33142993147764482</v>
      </c>
      <c r="V35" s="52">
        <f>V30/V31</f>
        <v>0.26733711747461475</v>
      </c>
    </row>
    <row r="36" spans="1:26" s="44" customFormat="1" ht="17.25" customHeight="1">
      <c r="A36" s="29" t="str">
        <f>A31</f>
        <v>Total Wholesale 2.0</v>
      </c>
      <c r="B36" s="50"/>
      <c r="C36" s="50">
        <f t="shared" ref="C36:O36" si="43">SUM(C34:C35)</f>
        <v>1</v>
      </c>
      <c r="D36" s="50">
        <f t="shared" si="43"/>
        <v>1</v>
      </c>
      <c r="E36" s="50">
        <f t="shared" si="43"/>
        <v>1</v>
      </c>
      <c r="F36" s="50">
        <f t="shared" si="43"/>
        <v>1</v>
      </c>
      <c r="G36" s="50">
        <f t="shared" si="43"/>
        <v>1</v>
      </c>
      <c r="H36" s="50">
        <f t="shared" si="43"/>
        <v>0.99999999999999989</v>
      </c>
      <c r="I36" s="50">
        <f t="shared" si="43"/>
        <v>1</v>
      </c>
      <c r="J36" s="50">
        <f t="shared" si="43"/>
        <v>1</v>
      </c>
      <c r="K36" s="50">
        <f t="shared" si="43"/>
        <v>1</v>
      </c>
      <c r="L36" s="50">
        <f t="shared" si="43"/>
        <v>1</v>
      </c>
      <c r="M36" s="50">
        <f t="shared" si="43"/>
        <v>1</v>
      </c>
      <c r="N36" s="50">
        <f t="shared" si="43"/>
        <v>1</v>
      </c>
      <c r="O36" s="50">
        <f t="shared" si="43"/>
        <v>1</v>
      </c>
      <c r="P36" s="50">
        <f t="shared" ref="P36:Q36" si="44">SUM(P34:P35)</f>
        <v>1</v>
      </c>
      <c r="Q36" s="50">
        <f t="shared" si="44"/>
        <v>1</v>
      </c>
      <c r="S36" s="50">
        <f>SUM(S34:S35)</f>
        <v>1</v>
      </c>
      <c r="T36" s="50">
        <f>SUM(T34:T35)</f>
        <v>1</v>
      </c>
      <c r="U36" s="50">
        <f>SUM(U34:U35)</f>
        <v>1</v>
      </c>
      <c r="V36" s="50">
        <f>SUM(V34:V35)</f>
        <v>1</v>
      </c>
      <c r="Y36" s="149"/>
    </row>
    <row r="37" spans="1:26" ht="17.25" customHeight="1">
      <c r="A37" s="28"/>
      <c r="B37" s="47"/>
      <c r="C37" s="47"/>
      <c r="D37" s="47"/>
      <c r="E37" s="88"/>
      <c r="F37" s="47"/>
      <c r="G37" s="47"/>
      <c r="H37" s="47"/>
      <c r="I37" s="88"/>
      <c r="J37" s="47"/>
      <c r="K37" s="47"/>
      <c r="L37" s="47"/>
      <c r="M37" s="88"/>
      <c r="N37" s="88"/>
      <c r="O37" s="88"/>
      <c r="P37" s="88"/>
      <c r="Q37" s="88"/>
      <c r="R37" s="133"/>
      <c r="S37" s="47"/>
      <c r="T37" s="47"/>
      <c r="U37" s="47"/>
      <c r="V37" s="47"/>
      <c r="W37" s="132"/>
    </row>
    <row r="38" spans="1:26" ht="17.25" customHeight="1">
      <c r="A38" s="24" t="s">
        <v>119</v>
      </c>
      <c r="B38" s="24"/>
      <c r="C38" s="24"/>
      <c r="D38" s="24"/>
      <c r="E38" s="46"/>
      <c r="F38" s="24"/>
      <c r="G38" s="24"/>
      <c r="H38" s="24"/>
      <c r="I38" s="46"/>
      <c r="J38" s="24"/>
      <c r="K38" s="24"/>
      <c r="L38" s="24"/>
      <c r="M38" s="46"/>
      <c r="N38" s="24"/>
      <c r="O38" s="24"/>
      <c r="P38" s="24"/>
      <c r="Q38" s="24"/>
      <c r="R38" s="24"/>
      <c r="S38" s="24"/>
      <c r="T38" s="24"/>
      <c r="U38" s="24"/>
      <c r="V38" s="24"/>
    </row>
    <row r="39" spans="1:26" ht="17.25" customHeight="1">
      <c r="A39" s="54" t="s">
        <v>11</v>
      </c>
      <c r="B39" s="9"/>
      <c r="C39" s="9"/>
      <c r="D39" s="9"/>
      <c r="E39" s="53"/>
      <c r="F39" s="9"/>
      <c r="G39" s="9"/>
      <c r="H39" s="9"/>
      <c r="I39" s="53"/>
      <c r="J39" s="9"/>
      <c r="K39" s="9"/>
      <c r="L39" s="9"/>
      <c r="M39" s="53"/>
      <c r="O39" s="9"/>
      <c r="P39" s="9"/>
      <c r="Q39" s="9"/>
    </row>
    <row r="40" spans="1:26" ht="17.25" customHeight="1">
      <c r="A40" s="126" t="s">
        <v>22</v>
      </c>
      <c r="B40" s="9"/>
      <c r="C40" s="9"/>
      <c r="D40" s="9"/>
      <c r="E40" s="53"/>
      <c r="F40" s="9"/>
      <c r="G40" s="9"/>
      <c r="H40" s="9"/>
      <c r="I40" s="53"/>
      <c r="J40" s="9"/>
      <c r="K40" s="9"/>
      <c r="L40" s="9"/>
      <c r="M40" s="53"/>
      <c r="N40" s="9"/>
      <c r="O40" s="9"/>
      <c r="P40" s="9"/>
      <c r="Q40" s="9"/>
    </row>
    <row r="41" spans="1:26" ht="17.25" customHeight="1">
      <c r="A41" s="28" t="s">
        <v>17</v>
      </c>
      <c r="B41" s="43">
        <v>33570.048999999999</v>
      </c>
      <c r="C41" s="43">
        <f>34536.453642631</f>
        <v>34536.453642631001</v>
      </c>
      <c r="D41" s="43">
        <f>34113.8113448237</f>
        <v>34113.811344823698</v>
      </c>
      <c r="E41" s="55">
        <v>32469.091681064179</v>
      </c>
      <c r="F41" s="43">
        <v>30709.802974481001</v>
      </c>
      <c r="G41" s="43">
        <v>21759.926730963351</v>
      </c>
      <c r="H41" s="43">
        <v>16911.753112709001</v>
      </c>
      <c r="I41" s="55">
        <v>13480.412123509002</v>
      </c>
      <c r="J41" s="43">
        <v>11479.699251517286</v>
      </c>
      <c r="K41" s="43">
        <v>9518.7125374172938</v>
      </c>
      <c r="L41" s="43">
        <v>7196.8</v>
      </c>
      <c r="M41" s="55">
        <v>4000.1</v>
      </c>
      <c r="N41" s="43">
        <v>3490.2965401769102</v>
      </c>
      <c r="O41" s="43">
        <v>2808.6054702621168</v>
      </c>
      <c r="P41" s="43">
        <v>2351</v>
      </c>
      <c r="Q41" s="43">
        <v>1994.2287429599446</v>
      </c>
      <c r="R41" s="43"/>
      <c r="S41" s="43">
        <f>E41</f>
        <v>32469.091681064179</v>
      </c>
      <c r="T41" s="43">
        <f>I41</f>
        <v>13480.412123509002</v>
      </c>
      <c r="U41" s="43">
        <f t="shared" ref="U41:U47" si="45">M41</f>
        <v>4000.1</v>
      </c>
      <c r="V41" s="43">
        <f>Q41</f>
        <v>1994.2287429599446</v>
      </c>
    </row>
    <row r="42" spans="1:26" ht="17.25" customHeight="1">
      <c r="A42" s="28" t="s">
        <v>18</v>
      </c>
      <c r="B42" s="43">
        <v>3130.15</v>
      </c>
      <c r="C42" s="43">
        <v>3436.7475548797652</v>
      </c>
      <c r="D42" s="43">
        <v>3816.547</v>
      </c>
      <c r="E42" s="55">
        <v>3835.9083189358225</v>
      </c>
      <c r="F42" s="43">
        <v>3806.1970255189999</v>
      </c>
      <c r="G42" s="43">
        <v>3940.0732690366503</v>
      </c>
      <c r="H42" s="43">
        <v>4087.6968872910002</v>
      </c>
      <c r="I42" s="55">
        <v>4229.1878764909998</v>
      </c>
      <c r="J42" s="43">
        <v>3613.9121590000004</v>
      </c>
      <c r="K42" s="43">
        <v>3594.5232535</v>
      </c>
      <c r="L42" s="43">
        <v>22.3</v>
      </c>
      <c r="M42" s="55">
        <v>1067.2</v>
      </c>
      <c r="N42" s="111">
        <v>1022.28906428983</v>
      </c>
      <c r="O42" s="111">
        <v>999.19306428982998</v>
      </c>
      <c r="P42" s="111">
        <v>825</v>
      </c>
      <c r="Q42" s="111">
        <v>391.72607198983019</v>
      </c>
      <c r="R42" s="43"/>
      <c r="S42" s="43">
        <f>E42</f>
        <v>3835.9083189358225</v>
      </c>
      <c r="T42" s="43">
        <f>I42</f>
        <v>4229.1878764909998</v>
      </c>
      <c r="U42" s="43">
        <f>M42</f>
        <v>1067.2</v>
      </c>
      <c r="V42" s="43">
        <f t="shared" ref="V42:V49" si="46">Q42</f>
        <v>391.72607198983019</v>
      </c>
      <c r="X42" s="88"/>
      <c r="Y42" s="88"/>
      <c r="Z42" s="88"/>
    </row>
    <row r="43" spans="1:26" ht="17.25" customHeight="1">
      <c r="A43" s="28" t="s">
        <v>19</v>
      </c>
      <c r="B43" s="43">
        <v>1297</v>
      </c>
      <c r="C43" s="43">
        <v>1334</v>
      </c>
      <c r="D43" s="43">
        <v>1335.308</v>
      </c>
      <c r="E43" s="55">
        <v>1335</v>
      </c>
      <c r="F43" s="43">
        <v>1335</v>
      </c>
      <c r="G43" s="43">
        <v>1335</v>
      </c>
      <c r="H43" s="43">
        <v>2953.3</v>
      </c>
      <c r="I43" s="55">
        <v>2952.4</v>
      </c>
      <c r="J43" s="43">
        <v>2952.4</v>
      </c>
      <c r="K43" s="43">
        <v>3328.8183196</v>
      </c>
      <c r="L43" s="43">
        <v>3326.9</v>
      </c>
      <c r="M43" s="55">
        <v>1962.4</v>
      </c>
      <c r="N43" s="43">
        <v>1715.4081424850001</v>
      </c>
      <c r="O43" s="43">
        <v>1555.5</v>
      </c>
      <c r="P43" s="43">
        <v>1423</v>
      </c>
      <c r="Q43" s="43">
        <v>1338.75</v>
      </c>
      <c r="R43" s="43"/>
      <c r="S43" s="43">
        <f>E43</f>
        <v>1335</v>
      </c>
      <c r="T43" s="43">
        <f>I43</f>
        <v>2952.4</v>
      </c>
      <c r="U43" s="43">
        <f>M43</f>
        <v>1962.4</v>
      </c>
      <c r="V43" s="43">
        <f t="shared" si="46"/>
        <v>1338.75</v>
      </c>
      <c r="X43" s="88"/>
      <c r="Y43" s="88"/>
      <c r="Z43" s="88"/>
    </row>
    <row r="44" spans="1:26" ht="17.25" customHeight="1">
      <c r="A44" s="28" t="s">
        <v>219</v>
      </c>
      <c r="B44" s="43">
        <v>0</v>
      </c>
      <c r="C44" s="43">
        <v>0</v>
      </c>
      <c r="D44" s="43">
        <v>0</v>
      </c>
      <c r="E44" s="55">
        <v>0</v>
      </c>
      <c r="F44" s="43">
        <v>0</v>
      </c>
      <c r="G44" s="43">
        <v>0</v>
      </c>
      <c r="H44" s="43">
        <v>780.25</v>
      </c>
      <c r="I44" s="55">
        <v>2017</v>
      </c>
      <c r="J44" s="43">
        <v>3754.9885894827103</v>
      </c>
      <c r="K44" s="43">
        <v>3258.9458894827098</v>
      </c>
      <c r="L44" s="43">
        <v>3426</v>
      </c>
      <c r="M44" s="55">
        <v>3268.3</v>
      </c>
      <c r="N44" s="43">
        <v>2971.4872835877095</v>
      </c>
      <c r="O44" s="43">
        <v>2703.3411628879999</v>
      </c>
      <c r="P44" s="43">
        <v>2258</v>
      </c>
      <c r="Q44" s="43">
        <v>1954.795303698</v>
      </c>
      <c r="R44" s="43"/>
      <c r="S44" s="43">
        <f>E44</f>
        <v>0</v>
      </c>
      <c r="T44" s="43">
        <f>I44</f>
        <v>2017</v>
      </c>
      <c r="U44" s="43">
        <f>M44</f>
        <v>3268.3</v>
      </c>
      <c r="V44" s="43">
        <f t="shared" si="46"/>
        <v>1954.795303698</v>
      </c>
      <c r="X44" s="88"/>
      <c r="Y44" s="88"/>
      <c r="Z44" s="88"/>
    </row>
    <row r="45" spans="1:26" ht="17.25" customHeight="1">
      <c r="A45" s="31"/>
      <c r="B45" s="43"/>
      <c r="C45" s="43"/>
      <c r="D45" s="43"/>
      <c r="E45" s="55"/>
      <c r="F45" s="43"/>
      <c r="G45" s="43"/>
      <c r="H45" s="43"/>
      <c r="I45" s="55"/>
      <c r="J45" s="43"/>
      <c r="K45" s="43"/>
      <c r="L45" s="43"/>
      <c r="M45" s="55"/>
      <c r="N45" s="43"/>
      <c r="O45" s="43"/>
      <c r="P45" s="43"/>
      <c r="Q45" s="43"/>
      <c r="R45" s="43"/>
      <c r="S45" s="43"/>
      <c r="T45" s="43"/>
      <c r="U45" s="43"/>
      <c r="V45" s="43">
        <f t="shared" si="46"/>
        <v>0</v>
      </c>
    </row>
    <row r="46" spans="1:26" ht="17.25" customHeight="1">
      <c r="A46" s="28" t="s">
        <v>20</v>
      </c>
      <c r="B46" s="43">
        <v>2907.6550004916576</v>
      </c>
      <c r="C46" s="43">
        <v>3172.1590680561594</v>
      </c>
      <c r="D46" s="43">
        <v>2789.1290870887897</v>
      </c>
      <c r="E46" s="55">
        <v>3542</v>
      </c>
      <c r="F46" s="43">
        <v>3750</v>
      </c>
      <c r="G46" s="43">
        <v>9208</v>
      </c>
      <c r="H46" s="43">
        <v>6598</v>
      </c>
      <c r="I46" s="55">
        <v>4844</v>
      </c>
      <c r="J46" s="43">
        <v>3335</v>
      </c>
      <c r="K46" s="43">
        <v>3258</v>
      </c>
      <c r="L46" s="43">
        <v>3978.8141897548453</v>
      </c>
      <c r="M46" s="55">
        <v>3475</v>
      </c>
      <c r="N46" s="43">
        <v>2890.31086053641</v>
      </c>
      <c r="O46" s="43">
        <v>2903.7895389918012</v>
      </c>
      <c r="P46" s="43">
        <v>2603.9211869128253</v>
      </c>
      <c r="Q46" s="43">
        <v>378.46568833531467</v>
      </c>
      <c r="R46" s="43"/>
      <c r="S46" s="43">
        <f>E46</f>
        <v>3542</v>
      </c>
      <c r="T46" s="43">
        <f>I46</f>
        <v>4844</v>
      </c>
      <c r="U46" s="43">
        <f t="shared" si="45"/>
        <v>3475</v>
      </c>
      <c r="V46" s="43">
        <f t="shared" si="46"/>
        <v>378.46568833531467</v>
      </c>
      <c r="X46" s="88"/>
      <c r="Y46" s="88"/>
      <c r="Z46" s="88"/>
    </row>
    <row r="47" spans="1:26" ht="17.25" customHeight="1">
      <c r="A47" s="28" t="s">
        <v>21</v>
      </c>
      <c r="B47" s="43">
        <v>1949.2811125708629</v>
      </c>
      <c r="C47" s="43">
        <v>1878.4720425105425</v>
      </c>
      <c r="D47" s="43">
        <v>1994.6128000261563</v>
      </c>
      <c r="E47" s="55">
        <v>1993</v>
      </c>
      <c r="F47" s="43">
        <v>2054</v>
      </c>
      <c r="G47" s="43">
        <v>1836</v>
      </c>
      <c r="H47" s="43">
        <v>3770</v>
      </c>
      <c r="I47" s="55">
        <v>1530</v>
      </c>
      <c r="J47" s="43">
        <v>866</v>
      </c>
      <c r="K47" s="43">
        <v>868</v>
      </c>
      <c r="L47" s="43">
        <v>742.17971464428274</v>
      </c>
      <c r="M47" s="55">
        <v>799</v>
      </c>
      <c r="N47" s="43">
        <v>884.96589705168299</v>
      </c>
      <c r="O47" s="43">
        <v>1095.5961317446213</v>
      </c>
      <c r="P47" s="43">
        <v>892.12115198613367</v>
      </c>
      <c r="Q47" s="43">
        <v>861.92604093193779</v>
      </c>
      <c r="R47" s="43"/>
      <c r="S47" s="43">
        <f>E47</f>
        <v>1993</v>
      </c>
      <c r="T47" s="43">
        <f>I47</f>
        <v>1530</v>
      </c>
      <c r="U47" s="43">
        <f t="shared" si="45"/>
        <v>799</v>
      </c>
      <c r="V47" s="43">
        <f t="shared" si="46"/>
        <v>861.92604093193779</v>
      </c>
      <c r="X47" s="88"/>
      <c r="Y47" s="88"/>
      <c r="Z47" s="88"/>
    </row>
    <row r="48" spans="1:26" ht="17.25" customHeight="1">
      <c r="A48" s="29"/>
      <c r="B48" s="43"/>
      <c r="C48" s="43"/>
      <c r="D48" s="43"/>
      <c r="E48" s="55"/>
      <c r="F48" s="43"/>
      <c r="G48" s="43"/>
      <c r="H48" s="43"/>
      <c r="I48" s="55"/>
      <c r="J48" s="43"/>
      <c r="K48" s="43"/>
      <c r="L48" s="43"/>
      <c r="M48" s="55"/>
      <c r="N48" s="43"/>
      <c r="O48" s="43"/>
      <c r="P48" s="43"/>
      <c r="Q48" s="43"/>
      <c r="R48" s="43"/>
      <c r="S48" s="43"/>
      <c r="T48" s="43"/>
      <c r="U48" s="43"/>
      <c r="V48" s="43">
        <f t="shared" si="46"/>
        <v>0</v>
      </c>
    </row>
    <row r="49" spans="1:25" ht="17.25" customHeight="1">
      <c r="A49" s="29" t="s">
        <v>222</v>
      </c>
      <c r="B49" s="41">
        <f>SUM(B41:B47)</f>
        <v>42854.135113062519</v>
      </c>
      <c r="C49" s="41">
        <f t="shared" ref="C49:M49" si="47">SUM(C41:C47)</f>
        <v>44357.832308077464</v>
      </c>
      <c r="D49" s="41">
        <f t="shared" si="47"/>
        <v>44049.408231938643</v>
      </c>
      <c r="E49" s="41">
        <f t="shared" si="47"/>
        <v>43175</v>
      </c>
      <c r="F49" s="41">
        <f t="shared" si="47"/>
        <v>41655</v>
      </c>
      <c r="G49" s="41">
        <f t="shared" si="47"/>
        <v>38079</v>
      </c>
      <c r="H49" s="41">
        <f t="shared" si="47"/>
        <v>35101</v>
      </c>
      <c r="I49" s="41">
        <f t="shared" si="47"/>
        <v>29053.000000000004</v>
      </c>
      <c r="J49" s="41">
        <f t="shared" si="47"/>
        <v>26001.999999999996</v>
      </c>
      <c r="K49" s="41">
        <f t="shared" si="47"/>
        <v>23827.000000000004</v>
      </c>
      <c r="L49" s="41">
        <f t="shared" si="47"/>
        <v>18692.993904399129</v>
      </c>
      <c r="M49" s="41">
        <f t="shared" si="47"/>
        <v>14572</v>
      </c>
      <c r="N49" s="41">
        <f>SUM(N41:N47)</f>
        <v>12974.757788127543</v>
      </c>
      <c r="O49" s="41">
        <f>SUM(O41:O47)</f>
        <v>12066.02536817637</v>
      </c>
      <c r="P49" s="41">
        <f>SUM(P41:P47)</f>
        <v>10353.042338898958</v>
      </c>
      <c r="Q49" s="41">
        <f>SUM(Q41:Q47)</f>
        <v>6919.891847915027</v>
      </c>
      <c r="R49" s="41"/>
      <c r="S49" s="41">
        <f>E49</f>
        <v>43175</v>
      </c>
      <c r="T49" s="41">
        <f>I49</f>
        <v>29053.000000000004</v>
      </c>
      <c r="U49" s="41">
        <f>M49</f>
        <v>14572</v>
      </c>
      <c r="V49" s="41">
        <f t="shared" si="46"/>
        <v>6919.891847915027</v>
      </c>
      <c r="W49" s="43"/>
      <c r="X49" s="44"/>
      <c r="Y49" s="149"/>
    </row>
    <row r="50" spans="1:25" ht="17.25" customHeight="1">
      <c r="A50" s="29"/>
      <c r="B50" s="43"/>
      <c r="C50" s="43"/>
      <c r="D50" s="43"/>
      <c r="E50" s="43"/>
      <c r="F50" s="43"/>
      <c r="G50" s="43"/>
      <c r="H50" s="43"/>
      <c r="I50" s="133"/>
      <c r="J50" s="43"/>
      <c r="K50" s="43"/>
      <c r="L50" s="43"/>
      <c r="M50" s="133"/>
      <c r="N50" s="43"/>
      <c r="O50" s="43"/>
      <c r="P50" s="133"/>
      <c r="Q50" s="133"/>
      <c r="R50" s="133"/>
      <c r="S50" s="43"/>
      <c r="T50" s="43"/>
      <c r="U50" s="43"/>
      <c r="V50" s="133"/>
    </row>
    <row r="51" spans="1:25" ht="17.25" customHeight="1">
      <c r="A51" s="20" t="s">
        <v>63</v>
      </c>
      <c r="B51" s="127">
        <f>B14+B31+B49</f>
        <v>47180.84416276071</v>
      </c>
      <c r="C51" s="127">
        <f t="shared" ref="C51:Q51" si="48">C14+C31+C49</f>
        <v>66985.450420011999</v>
      </c>
      <c r="D51" s="127">
        <f t="shared" si="48"/>
        <v>65792.408231938636</v>
      </c>
      <c r="E51" s="128">
        <f t="shared" si="48"/>
        <v>65185</v>
      </c>
      <c r="F51" s="127">
        <f t="shared" si="48"/>
        <v>64590.895325160491</v>
      </c>
      <c r="G51" s="127">
        <f t="shared" si="48"/>
        <v>63780.495847782528</v>
      </c>
      <c r="H51" s="127">
        <f t="shared" si="48"/>
        <v>64867.093446985527</v>
      </c>
      <c r="I51" s="128">
        <f t="shared" si="48"/>
        <v>63989.366998024998</v>
      </c>
      <c r="J51" s="127">
        <f t="shared" si="48"/>
        <v>64266</v>
      </c>
      <c r="K51" s="127">
        <f t="shared" si="48"/>
        <v>66932</v>
      </c>
      <c r="L51" s="127">
        <f t="shared" si="48"/>
        <v>67282.806159865213</v>
      </c>
      <c r="M51" s="128">
        <f t="shared" si="48"/>
        <v>68845.135076995153</v>
      </c>
      <c r="N51" s="127">
        <f t="shared" si="48"/>
        <v>70575.530780371133</v>
      </c>
      <c r="O51" s="127">
        <f t="shared" si="48"/>
        <v>74691.841672946786</v>
      </c>
      <c r="P51" s="127">
        <f t="shared" si="48"/>
        <v>78362.176427805578</v>
      </c>
      <c r="Q51" s="127">
        <f t="shared" si="48"/>
        <v>80689.216460743148</v>
      </c>
      <c r="R51" s="129"/>
      <c r="S51" s="127">
        <f>S14+S31+S49</f>
        <v>65185</v>
      </c>
      <c r="T51" s="127">
        <f>T14+T31+T49</f>
        <v>63989.366998024998</v>
      </c>
      <c r="U51" s="127">
        <f>U14+U31+U49</f>
        <v>68845.135076995153</v>
      </c>
      <c r="V51" s="127">
        <f>V14+V31+V49</f>
        <v>80689.216460743148</v>
      </c>
      <c r="W51" s="133"/>
      <c r="X51" s="44"/>
      <c r="Y51" s="149"/>
    </row>
    <row r="52" spans="1:25" ht="17.25" customHeight="1">
      <c r="A52" s="31"/>
      <c r="B52" s="9"/>
      <c r="C52" s="9"/>
      <c r="D52" s="9"/>
      <c r="E52" s="133"/>
      <c r="F52" s="9"/>
      <c r="G52" s="9"/>
      <c r="H52" s="9"/>
      <c r="I52" s="9"/>
      <c r="J52" s="133"/>
      <c r="K52" s="133"/>
      <c r="L52" s="133"/>
      <c r="M52" s="133"/>
      <c r="N52" s="133"/>
      <c r="O52" s="133"/>
      <c r="P52" s="133"/>
      <c r="Q52" s="133"/>
    </row>
    <row r="53" spans="1:25" ht="17.25" customHeight="1">
      <c r="A53" s="45" t="s">
        <v>13</v>
      </c>
      <c r="B53" s="21"/>
      <c r="C53" s="21"/>
      <c r="D53" s="21"/>
      <c r="E53" s="22"/>
      <c r="F53" s="23"/>
      <c r="G53" s="23"/>
      <c r="H53" s="23"/>
      <c r="I53" s="22"/>
      <c r="J53" s="23"/>
      <c r="K53" s="23"/>
      <c r="L53" s="23"/>
      <c r="M53" s="22"/>
      <c r="N53" s="23"/>
      <c r="O53" s="23"/>
      <c r="P53" s="21"/>
      <c r="Q53" s="21"/>
      <c r="R53" s="23"/>
      <c r="S53" s="23"/>
      <c r="T53" s="23"/>
      <c r="U53" s="23"/>
      <c r="V53" s="23"/>
    </row>
    <row r="54" spans="1:25" s="124" customFormat="1" ht="17.25" customHeight="1">
      <c r="A54" s="142" t="s">
        <v>110</v>
      </c>
      <c r="B54" s="144">
        <f t="shared" ref="B54:U54" si="49">+B14/B$51</f>
        <v>9.170478244883154E-2</v>
      </c>
      <c r="C54" s="144">
        <f t="shared" si="49"/>
        <v>0.3370524947745262</v>
      </c>
      <c r="D54" s="144">
        <f t="shared" si="49"/>
        <v>0.3274541938645979</v>
      </c>
      <c r="E54" s="145">
        <f t="shared" si="49"/>
        <v>0.33062821201196596</v>
      </c>
      <c r="F54" s="144">
        <f t="shared" si="49"/>
        <v>0.34473736914569025</v>
      </c>
      <c r="G54" s="144">
        <f t="shared" si="49"/>
        <v>0.3899702490106508</v>
      </c>
      <c r="H54" s="144">
        <f t="shared" si="49"/>
        <v>0.43004537377313135</v>
      </c>
      <c r="I54" s="145">
        <f t="shared" si="49"/>
        <v>0.50233919330718046</v>
      </c>
      <c r="J54" s="144">
        <f t="shared" si="49"/>
        <v>0.54801917032334357</v>
      </c>
      <c r="K54" s="144">
        <f t="shared" si="49"/>
        <v>0.57676447738002745</v>
      </c>
      <c r="L54" s="144">
        <f t="shared" si="49"/>
        <v>0.63950959324979195</v>
      </c>
      <c r="M54" s="145">
        <f t="shared" si="49"/>
        <v>0.69615017370076504</v>
      </c>
      <c r="N54" s="144">
        <f t="shared" si="49"/>
        <v>0.71597110083754489</v>
      </c>
      <c r="O54" s="144">
        <f t="shared" si="49"/>
        <v>0.73283413947974607</v>
      </c>
      <c r="P54" s="144">
        <f t="shared" ref="P54:Q54" si="50">+P14/P$51</f>
        <v>0.75410521873057579</v>
      </c>
      <c r="Q54" s="144">
        <f t="shared" si="50"/>
        <v>0.80125308466278966</v>
      </c>
      <c r="R54" s="144"/>
      <c r="S54" s="144">
        <f t="shared" si="49"/>
        <v>0.33062821201196596</v>
      </c>
      <c r="T54" s="144">
        <f t="shared" si="49"/>
        <v>0.50233919330718046</v>
      </c>
      <c r="U54" s="144">
        <f t="shared" si="49"/>
        <v>0.69615017370076504</v>
      </c>
      <c r="V54" s="144">
        <f t="shared" ref="V54" si="51">+V14/V$51</f>
        <v>0.80125308466278966</v>
      </c>
    </row>
    <row r="55" spans="1:25" s="124" customFormat="1" ht="17.25" customHeight="1">
      <c r="A55" s="142" t="s">
        <v>238</v>
      </c>
      <c r="B55" s="144">
        <f>(B31+B49)/B$51</f>
        <v>0.90829521755116849</v>
      </c>
      <c r="C55" s="144">
        <f>(C31+C49)/C$51</f>
        <v>0.66294750522547374</v>
      </c>
      <c r="D55" s="144">
        <f t="shared" ref="D55:U55" si="52">(D31+D49)/D$51</f>
        <v>0.67254580613540227</v>
      </c>
      <c r="E55" s="144">
        <f t="shared" si="52"/>
        <v>0.66937178798803409</v>
      </c>
      <c r="F55" s="144">
        <f t="shared" si="52"/>
        <v>0.6552626308543098</v>
      </c>
      <c r="G55" s="144">
        <f t="shared" si="52"/>
        <v>0.61002975098934931</v>
      </c>
      <c r="H55" s="144">
        <f t="shared" si="52"/>
        <v>0.56995462622686877</v>
      </c>
      <c r="I55" s="144">
        <f t="shared" si="52"/>
        <v>0.49766080669281954</v>
      </c>
      <c r="J55" s="144">
        <f t="shared" si="52"/>
        <v>0.45198082967665631</v>
      </c>
      <c r="K55" s="144">
        <f t="shared" si="52"/>
        <v>0.42323552261997255</v>
      </c>
      <c r="L55" s="144">
        <f t="shared" si="52"/>
        <v>0.36049040675020816</v>
      </c>
      <c r="M55" s="144">
        <f t="shared" si="52"/>
        <v>0.30384982629923502</v>
      </c>
      <c r="N55" s="144">
        <f t="shared" si="52"/>
        <v>0.28402889916245494</v>
      </c>
      <c r="O55" s="144">
        <f t="shared" si="52"/>
        <v>0.26716586052025398</v>
      </c>
      <c r="P55" s="144">
        <f t="shared" ref="P55:Q55" si="53">(P31+P49)/P$51</f>
        <v>0.24589478126942416</v>
      </c>
      <c r="Q55" s="144">
        <f t="shared" si="53"/>
        <v>0.19874691533721026</v>
      </c>
      <c r="R55" s="144"/>
      <c r="S55" s="144">
        <f t="shared" si="52"/>
        <v>0.66937178798803409</v>
      </c>
      <c r="T55" s="144">
        <f t="shared" si="52"/>
        <v>0.49766080669281954</v>
      </c>
      <c r="U55" s="144">
        <f t="shared" si="52"/>
        <v>0.30384982629923502</v>
      </c>
      <c r="V55" s="144">
        <f t="shared" ref="V55" si="54">(V31+V49)/V$51</f>
        <v>0.19874691533721026</v>
      </c>
    </row>
    <row r="56" spans="1:25" ht="17.25" customHeight="1">
      <c r="A56" s="66" t="s">
        <v>63</v>
      </c>
      <c r="B56" s="130">
        <f>SUM(B54:B55)</f>
        <v>1</v>
      </c>
      <c r="C56" s="130">
        <f t="shared" ref="C56:U56" si="55">SUM(C54:C55)</f>
        <v>1</v>
      </c>
      <c r="D56" s="130">
        <f t="shared" si="55"/>
        <v>1.0000000000000002</v>
      </c>
      <c r="E56" s="130">
        <f t="shared" si="55"/>
        <v>1</v>
      </c>
      <c r="F56" s="130">
        <f t="shared" si="55"/>
        <v>1</v>
      </c>
      <c r="G56" s="130">
        <f t="shared" si="55"/>
        <v>1</v>
      </c>
      <c r="H56" s="130">
        <f t="shared" si="55"/>
        <v>1</v>
      </c>
      <c r="I56" s="130">
        <f t="shared" si="55"/>
        <v>1</v>
      </c>
      <c r="J56" s="130">
        <f t="shared" si="55"/>
        <v>0.99999999999999989</v>
      </c>
      <c r="K56" s="130">
        <f t="shared" si="55"/>
        <v>1</v>
      </c>
      <c r="L56" s="130">
        <f t="shared" si="55"/>
        <v>1</v>
      </c>
      <c r="M56" s="130">
        <f t="shared" si="55"/>
        <v>1</v>
      </c>
      <c r="N56" s="130">
        <f t="shared" si="55"/>
        <v>0.99999999999999978</v>
      </c>
      <c r="O56" s="130">
        <f t="shared" si="55"/>
        <v>1</v>
      </c>
      <c r="P56" s="130">
        <f t="shared" ref="P56:Q56" si="56">SUM(P54:P55)</f>
        <v>1</v>
      </c>
      <c r="Q56" s="130">
        <f t="shared" si="56"/>
        <v>0.99999999999999989</v>
      </c>
      <c r="R56" s="130"/>
      <c r="S56" s="130">
        <f t="shared" si="55"/>
        <v>1</v>
      </c>
      <c r="T56" s="130">
        <f t="shared" si="55"/>
        <v>1</v>
      </c>
      <c r="U56" s="130">
        <f t="shared" si="55"/>
        <v>1</v>
      </c>
      <c r="V56" s="130">
        <f t="shared" ref="V56" si="57">SUM(V54:V55)</f>
        <v>0.99999999999999989</v>
      </c>
    </row>
    <row r="57" spans="1:25" ht="17.25" customHeight="1">
      <c r="A57" s="29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2"/>
      <c r="S57" s="50"/>
      <c r="T57" s="50"/>
      <c r="U57" s="50"/>
      <c r="V57" s="50"/>
    </row>
    <row r="58" spans="1:25" s="124" customFormat="1" ht="17.25" customHeight="1">
      <c r="A58" s="142" t="s">
        <v>173</v>
      </c>
      <c r="B58" s="144">
        <f>(B14+B31)/B$51</f>
        <v>9.170478244883154E-2</v>
      </c>
      <c r="C58" s="144">
        <f t="shared" ref="C58:U58" si="58">(C14+C31)/C$51</f>
        <v>0.33779899918646367</v>
      </c>
      <c r="D58" s="144">
        <f t="shared" si="58"/>
        <v>0.33047885894903228</v>
      </c>
      <c r="E58" s="144">
        <f t="shared" si="58"/>
        <v>0.33765436833627366</v>
      </c>
      <c r="F58" s="144">
        <f t="shared" si="58"/>
        <v>0.35509486607512825</v>
      </c>
      <c r="G58" s="144">
        <f t="shared" si="58"/>
        <v>0.4029679529165357</v>
      </c>
      <c r="H58" s="144">
        <f t="shared" si="58"/>
        <v>0.45887817482238069</v>
      </c>
      <c r="I58" s="144">
        <f t="shared" si="58"/>
        <v>0.54597144239766104</v>
      </c>
      <c r="J58" s="144">
        <f t="shared" si="58"/>
        <v>0.59540036722372636</v>
      </c>
      <c r="K58" s="144">
        <f t="shared" si="58"/>
        <v>0.64401183290503794</v>
      </c>
      <c r="L58" s="144">
        <f t="shared" si="58"/>
        <v>0.72217279612291707</v>
      </c>
      <c r="M58" s="144">
        <f t="shared" si="58"/>
        <v>0.78833653265836534</v>
      </c>
      <c r="N58" s="144">
        <f t="shared" si="58"/>
        <v>0.81615784331109609</v>
      </c>
      <c r="O58" s="144">
        <f t="shared" si="58"/>
        <v>0.83845591301644595</v>
      </c>
      <c r="P58" s="144">
        <f t="shared" ref="P58:Q58" si="59">(P14+P31)/P$51</f>
        <v>0.8678821491330434</v>
      </c>
      <c r="Q58" s="144">
        <f t="shared" si="59"/>
        <v>0.91424019030744097</v>
      </c>
      <c r="R58" s="144"/>
      <c r="S58" s="144">
        <f t="shared" si="58"/>
        <v>0.33765436833627366</v>
      </c>
      <c r="T58" s="144">
        <f t="shared" si="58"/>
        <v>0.54597144239766104</v>
      </c>
      <c r="U58" s="144">
        <f t="shared" si="58"/>
        <v>0.78833653265836534</v>
      </c>
      <c r="V58" s="144">
        <f t="shared" ref="V58" si="60">(V14+V31)/V$51</f>
        <v>0.91424019030744097</v>
      </c>
    </row>
    <row r="59" spans="1:25" s="124" customFormat="1" ht="17.25" customHeight="1">
      <c r="A59" s="142" t="s">
        <v>119</v>
      </c>
      <c r="B59" s="144">
        <f t="shared" ref="B59:O59" si="61">B49/B$51</f>
        <v>0.90829521755116849</v>
      </c>
      <c r="C59" s="144">
        <f t="shared" si="61"/>
        <v>0.66220100081353639</v>
      </c>
      <c r="D59" s="144">
        <f t="shared" si="61"/>
        <v>0.66952114105096783</v>
      </c>
      <c r="E59" s="144">
        <f t="shared" si="61"/>
        <v>0.66234563166372629</v>
      </c>
      <c r="F59" s="144">
        <f t="shared" si="61"/>
        <v>0.64490513392487181</v>
      </c>
      <c r="G59" s="144">
        <f t="shared" si="61"/>
        <v>0.59703204708346436</v>
      </c>
      <c r="H59" s="144">
        <f t="shared" si="61"/>
        <v>0.54112182517761931</v>
      </c>
      <c r="I59" s="144">
        <f t="shared" si="61"/>
        <v>0.45402855760233901</v>
      </c>
      <c r="J59" s="144">
        <f t="shared" si="61"/>
        <v>0.40459963277627353</v>
      </c>
      <c r="K59" s="144">
        <f t="shared" si="61"/>
        <v>0.35598816709496212</v>
      </c>
      <c r="L59" s="144">
        <f t="shared" si="61"/>
        <v>0.27782720387708298</v>
      </c>
      <c r="M59" s="144">
        <f t="shared" si="61"/>
        <v>0.2116634673416348</v>
      </c>
      <c r="N59" s="144">
        <f t="shared" si="61"/>
        <v>0.1838421566889038</v>
      </c>
      <c r="O59" s="144">
        <f t="shared" si="61"/>
        <v>0.16154408698355413</v>
      </c>
      <c r="P59" s="144">
        <f t="shared" ref="P59:Q59" si="62">P49/P$51</f>
        <v>0.1321178508669566</v>
      </c>
      <c r="Q59" s="144">
        <f t="shared" si="62"/>
        <v>8.5759809692558947E-2</v>
      </c>
      <c r="R59" s="144"/>
      <c r="S59" s="144">
        <f>S49/S$51</f>
        <v>0.66234563166372629</v>
      </c>
      <c r="T59" s="144">
        <f>T49/T$51</f>
        <v>0.45402855760233901</v>
      </c>
      <c r="U59" s="144">
        <f>U49/U$51</f>
        <v>0.2116634673416348</v>
      </c>
      <c r="V59" s="144">
        <f>V49/V$51</f>
        <v>8.5759809692558947E-2</v>
      </c>
    </row>
    <row r="60" spans="1:25" ht="17.25" customHeight="1">
      <c r="A60" s="66" t="str">
        <f>+A51</f>
        <v>Total AUM</v>
      </c>
      <c r="B60" s="130">
        <f>SUM(B58:B59)</f>
        <v>1</v>
      </c>
      <c r="C60" s="130">
        <f t="shared" ref="C60:U60" si="63">SUM(C58:C59)</f>
        <v>1</v>
      </c>
      <c r="D60" s="130">
        <f t="shared" si="63"/>
        <v>1</v>
      </c>
      <c r="E60" s="130">
        <f t="shared" si="63"/>
        <v>1</v>
      </c>
      <c r="F60" s="130">
        <f t="shared" si="63"/>
        <v>1</v>
      </c>
      <c r="G60" s="130">
        <f t="shared" si="63"/>
        <v>1</v>
      </c>
      <c r="H60" s="130">
        <f t="shared" si="63"/>
        <v>1</v>
      </c>
      <c r="I60" s="130">
        <f t="shared" si="63"/>
        <v>1</v>
      </c>
      <c r="J60" s="130">
        <f t="shared" si="63"/>
        <v>0.99999999999999989</v>
      </c>
      <c r="K60" s="130">
        <f t="shared" si="63"/>
        <v>1</v>
      </c>
      <c r="L60" s="130">
        <f t="shared" si="63"/>
        <v>1</v>
      </c>
      <c r="M60" s="130">
        <f t="shared" si="63"/>
        <v>1.0000000000000002</v>
      </c>
      <c r="N60" s="130">
        <f t="shared" si="63"/>
        <v>0.99999999999999989</v>
      </c>
      <c r="O60" s="130">
        <f t="shared" si="63"/>
        <v>1</v>
      </c>
      <c r="P60" s="130">
        <f t="shared" ref="P60:Q60" si="64">SUM(P58:P59)</f>
        <v>1</v>
      </c>
      <c r="Q60" s="130">
        <f t="shared" si="64"/>
        <v>0.99999999999999989</v>
      </c>
      <c r="R60" s="130"/>
      <c r="S60" s="130">
        <f t="shared" si="63"/>
        <v>1</v>
      </c>
      <c r="T60" s="130">
        <f t="shared" si="63"/>
        <v>1</v>
      </c>
      <c r="U60" s="130">
        <f t="shared" si="63"/>
        <v>1.0000000000000002</v>
      </c>
      <c r="V60" s="130">
        <f t="shared" ref="V60" si="65">SUM(V58:V59)</f>
        <v>0.99999999999999989</v>
      </c>
    </row>
    <row r="61" spans="1:25" ht="17.25" customHeight="1">
      <c r="A61" s="28"/>
    </row>
    <row r="62" spans="1:25" ht="17.25" customHeight="1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</row>
    <row r="63" spans="1:25" ht="17.25" customHeight="1">
      <c r="A63" s="28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5" ht="17.25" customHeight="1">
      <c r="A64" s="28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3" ht="17.25" customHeight="1">
      <c r="A65" s="2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3" ht="17.25" customHeight="1">
      <c r="A66" s="28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3" ht="17.25" customHeight="1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</row>
    <row r="68" spans="1:23" ht="17.25" customHeight="1">
      <c r="A68" s="2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3" ht="17.25" customHeight="1">
      <c r="A69" s="2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3" ht="17.25" customHeight="1">
      <c r="A70" s="28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3" ht="17.25" customHeight="1">
      <c r="A71" s="28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</row>
    <row r="72" spans="1:23" ht="17.25" customHeight="1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</row>
    <row r="76" spans="1:23" ht="17.25" customHeight="1">
      <c r="S76" s="88"/>
      <c r="T76" s="88"/>
      <c r="U76" s="88"/>
      <c r="V76" s="88"/>
      <c r="W76" s="133"/>
    </row>
    <row r="77" spans="1:23" ht="17.25" customHeight="1">
      <c r="S77" s="88"/>
      <c r="T77" s="88"/>
      <c r="U77" s="88"/>
      <c r="V77" s="88"/>
      <c r="W77" s="133"/>
    </row>
    <row r="78" spans="1:23" ht="17.25" customHeight="1">
      <c r="S78" s="88"/>
      <c r="T78" s="88"/>
      <c r="U78" s="88"/>
      <c r="V78" s="88"/>
      <c r="W78" s="133"/>
    </row>
    <row r="79" spans="1:23" ht="17.25" customHeight="1">
      <c r="S79" s="88"/>
      <c r="T79" s="88"/>
      <c r="U79" s="88"/>
      <c r="V79" s="88"/>
      <c r="W79" s="133"/>
    </row>
    <row r="80" spans="1:23" ht="17.25" customHeight="1">
      <c r="S80" s="88"/>
      <c r="T80" s="88"/>
      <c r="U80" s="88"/>
      <c r="V80" s="88"/>
      <c r="W80" s="133"/>
    </row>
    <row r="81" spans="19:23" ht="17.25" customHeight="1">
      <c r="S81" s="88"/>
      <c r="T81" s="88"/>
      <c r="U81" s="88"/>
      <c r="V81" s="88"/>
      <c r="W81" s="133"/>
    </row>
    <row r="82" spans="19:23" ht="17.25" customHeight="1">
      <c r="S82" s="88"/>
      <c r="T82" s="88"/>
      <c r="U82" s="88"/>
      <c r="V82" s="88"/>
      <c r="W82" s="133"/>
    </row>
    <row r="83" spans="19:23" ht="17.25" customHeight="1">
      <c r="S83" s="88"/>
      <c r="T83" s="88"/>
      <c r="U83" s="88"/>
      <c r="V83" s="88"/>
      <c r="W83" s="133"/>
    </row>
    <row r="84" spans="19:23" ht="17.25" customHeight="1">
      <c r="S84" s="88"/>
      <c r="T84" s="88"/>
      <c r="U84" s="88"/>
      <c r="V84" s="88"/>
      <c r="W84" s="133"/>
    </row>
    <row r="85" spans="19:23" ht="17.25" customHeight="1">
      <c r="S85" s="88"/>
      <c r="T85" s="88"/>
      <c r="U85" s="88"/>
      <c r="V85" s="88"/>
      <c r="W85" s="133"/>
    </row>
    <row r="86" spans="19:23" ht="17.25" customHeight="1">
      <c r="S86" s="147"/>
      <c r="T86" s="147"/>
      <c r="U86" s="147"/>
      <c r="V86" s="147"/>
      <c r="W86" s="133"/>
    </row>
  </sheetData>
  <mergeCells count="5">
    <mergeCell ref="B1:E1"/>
    <mergeCell ref="F1:I1"/>
    <mergeCell ref="J1:M1"/>
    <mergeCell ref="S1:V1"/>
    <mergeCell ref="N1:Q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AJ67"/>
  <sheetViews>
    <sheetView zoomScale="90" zoomScaleNormal="90" workbookViewId="0">
      <pane xSplit="1" ySplit="2" topLeftCell="F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43.6640625" style="15" customWidth="1"/>
    <col min="2" max="4" width="9.33203125" style="10" hidden="1" customWidth="1"/>
    <col min="5" max="5" width="9.33203125" style="34" hidden="1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8" width="8.6640625" style="10"/>
    <col min="19" max="19" width="9.33203125" style="10" hidden="1" customWidth="1"/>
    <col min="20" max="22" width="9.33203125" style="10" customWidth="1"/>
    <col min="23" max="25" width="8.6640625" style="10"/>
    <col min="26" max="26" width="9.6640625" style="10" bestFit="1" customWidth="1"/>
    <col min="27" max="16384" width="8.6640625" style="10"/>
  </cols>
  <sheetData>
    <row r="1" spans="1:36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36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37"/>
      <c r="S2" s="18" t="s">
        <v>0</v>
      </c>
      <c r="T2" s="18" t="s">
        <v>1</v>
      </c>
      <c r="U2" s="18" t="s">
        <v>2</v>
      </c>
      <c r="V2" s="18" t="s">
        <v>15</v>
      </c>
    </row>
    <row r="3" spans="1:36" ht="17.25" customHeight="1">
      <c r="A3" s="56" t="s">
        <v>252</v>
      </c>
      <c r="B3" s="57"/>
      <c r="C3" s="57"/>
      <c r="D3" s="57"/>
      <c r="E3" s="58"/>
      <c r="F3" s="57"/>
      <c r="G3" s="57"/>
      <c r="H3" s="57"/>
      <c r="I3" s="58"/>
      <c r="J3" s="57"/>
      <c r="K3" s="57"/>
      <c r="L3" s="57"/>
      <c r="M3" s="58"/>
      <c r="N3" s="57"/>
      <c r="O3" s="57"/>
      <c r="P3" s="57"/>
      <c r="Q3" s="59"/>
      <c r="R3" s="59"/>
      <c r="S3" s="57"/>
      <c r="T3" s="57"/>
      <c r="U3" s="57"/>
      <c r="V3" s="57"/>
      <c r="X3" s="43"/>
      <c r="Y3" s="43"/>
      <c r="Z3" s="43"/>
      <c r="AA3" s="43"/>
    </row>
    <row r="4" spans="1:36" ht="17.25" customHeight="1">
      <c r="A4" s="15" t="s">
        <v>50</v>
      </c>
      <c r="B4" s="43"/>
      <c r="C4" s="43"/>
      <c r="D4" s="43"/>
      <c r="E4" s="55"/>
      <c r="F4" s="88">
        <v>781.99015154723634</v>
      </c>
      <c r="G4" s="88">
        <v>834.82262938165911</v>
      </c>
      <c r="H4" s="88">
        <v>955.99686245321072</v>
      </c>
      <c r="I4" s="87">
        <v>1102.6324095273001</v>
      </c>
      <c r="J4" s="88">
        <v>1249.5132813873379</v>
      </c>
      <c r="K4" s="88">
        <v>1366.8220600001782</v>
      </c>
      <c r="L4" s="88">
        <v>1557.2127447806402</v>
      </c>
      <c r="M4" s="87">
        <v>1698.6063431843581</v>
      </c>
      <c r="N4" s="88">
        <v>1872.0304125631869</v>
      </c>
      <c r="O4" s="88">
        <v>2031.1668573968489</v>
      </c>
      <c r="P4" s="88">
        <v>2169.3059186066134</v>
      </c>
      <c r="Q4" s="88">
        <v>2280.3577581731997</v>
      </c>
      <c r="R4" s="88"/>
      <c r="S4" s="88"/>
      <c r="T4" s="88">
        <f>SUM(F4:I4)</f>
        <v>3675.4420529094059</v>
      </c>
      <c r="U4" s="88">
        <f>SUM(J4:M4)</f>
        <v>5872.1544293525149</v>
      </c>
      <c r="V4" s="88">
        <f>SUM(N4:Q4)</f>
        <v>8352.8609467398492</v>
      </c>
    </row>
    <row r="5" spans="1:36" ht="17.25" customHeight="1">
      <c r="A5" s="15" t="s">
        <v>38</v>
      </c>
      <c r="B5" s="43"/>
      <c r="C5" s="43"/>
      <c r="D5" s="43"/>
      <c r="E5" s="55"/>
      <c r="F5" s="88">
        <v>359.86940511949035</v>
      </c>
      <c r="G5" s="88">
        <v>374.89272466686486</v>
      </c>
      <c r="H5" s="88">
        <v>409.94258555265833</v>
      </c>
      <c r="I5" s="87">
        <v>485.32550140487086</v>
      </c>
      <c r="J5" s="88">
        <v>579.78725561649276</v>
      </c>
      <c r="K5" s="88">
        <v>636.75555804425483</v>
      </c>
      <c r="L5" s="88">
        <v>730.46039382529648</v>
      </c>
      <c r="M5" s="87">
        <v>859.31481833176258</v>
      </c>
      <c r="N5" s="88">
        <v>972.57276637899076</v>
      </c>
      <c r="O5" s="88">
        <v>1091.5918792206437</v>
      </c>
      <c r="P5" s="88">
        <v>1091.1246640618751</v>
      </c>
      <c r="Q5" s="88">
        <v>1155.8499398765605</v>
      </c>
      <c r="R5" s="88"/>
      <c r="S5" s="88"/>
      <c r="T5" s="88">
        <f>SUM(F5:I5)</f>
        <v>1630.0302167438845</v>
      </c>
      <c r="U5" s="88">
        <f t="shared" ref="U5:U16" si="0">SUM(J5:M5)</f>
        <v>2806.3180258178063</v>
      </c>
      <c r="V5" s="88">
        <f t="shared" ref="V5:V16" si="1">SUM(N5:Q5)</f>
        <v>4311.1392495380696</v>
      </c>
      <c r="Y5" s="43"/>
      <c r="Z5" s="43"/>
    </row>
    <row r="6" spans="1:36" ht="17.25" customHeight="1">
      <c r="A6" s="40" t="s">
        <v>179</v>
      </c>
      <c r="B6" s="41"/>
      <c r="C6" s="41"/>
      <c r="D6" s="41"/>
      <c r="E6" s="42"/>
      <c r="F6" s="151">
        <f>F4-F5</f>
        <v>422.12074642774598</v>
      </c>
      <c r="G6" s="151">
        <f t="shared" ref="G6:Q6" si="2">G4-G5</f>
        <v>459.92990471479425</v>
      </c>
      <c r="H6" s="151">
        <f t="shared" si="2"/>
        <v>546.0542769005524</v>
      </c>
      <c r="I6" s="152">
        <f t="shared" si="2"/>
        <v>617.30690812242915</v>
      </c>
      <c r="J6" s="151">
        <f t="shared" si="2"/>
        <v>669.72602577084513</v>
      </c>
      <c r="K6" s="151">
        <f t="shared" si="2"/>
        <v>730.0665019559234</v>
      </c>
      <c r="L6" s="151">
        <f t="shared" si="2"/>
        <v>826.75235095534367</v>
      </c>
      <c r="M6" s="152">
        <f t="shared" si="2"/>
        <v>839.29152485259556</v>
      </c>
      <c r="N6" s="151">
        <f t="shared" si="2"/>
        <v>899.45764618419616</v>
      </c>
      <c r="O6" s="151">
        <f t="shared" si="2"/>
        <v>939.57497817620515</v>
      </c>
      <c r="P6" s="151">
        <f t="shared" si="2"/>
        <v>1078.1812545447383</v>
      </c>
      <c r="Q6" s="151">
        <f t="shared" si="2"/>
        <v>1124.5078182966392</v>
      </c>
      <c r="R6" s="88"/>
      <c r="S6" s="151"/>
      <c r="T6" s="151">
        <f>SUM(F6:I6)</f>
        <v>2045.4118361655217</v>
      </c>
      <c r="U6" s="151">
        <f t="shared" si="0"/>
        <v>3065.8364035347081</v>
      </c>
      <c r="V6" s="151">
        <f t="shared" si="1"/>
        <v>4041.7216972017786</v>
      </c>
    </row>
    <row r="7" spans="1:36" ht="17.25" customHeight="1">
      <c r="A7" s="15" t="s">
        <v>39</v>
      </c>
      <c r="B7" s="108"/>
      <c r="C7" s="108"/>
      <c r="D7" s="108"/>
      <c r="E7" s="109"/>
      <c r="F7" s="88">
        <v>64.237500000000011</v>
      </c>
      <c r="G7" s="88">
        <v>48.005257370239995</v>
      </c>
      <c r="H7" s="88">
        <v>81.665257370240013</v>
      </c>
      <c r="I7" s="87">
        <v>90.161985259520009</v>
      </c>
      <c r="J7" s="88">
        <v>98.85</v>
      </c>
      <c r="K7" s="88">
        <v>128.88999999999999</v>
      </c>
      <c r="L7" s="88">
        <v>152.07000000000002</v>
      </c>
      <c r="M7" s="87">
        <v>189.99000000000004</v>
      </c>
      <c r="N7" s="88">
        <v>96.43</v>
      </c>
      <c r="O7" s="88">
        <v>101.94999999999999</v>
      </c>
      <c r="P7" s="88">
        <v>106.94</v>
      </c>
      <c r="Q7" s="88">
        <v>120.64000000000001</v>
      </c>
      <c r="R7" s="88"/>
      <c r="S7" s="88"/>
      <c r="T7" s="88">
        <f>SUM(F7:I7)</f>
        <v>284.07000000000005</v>
      </c>
      <c r="U7" s="88">
        <f t="shared" si="0"/>
        <v>569.80000000000007</v>
      </c>
      <c r="V7" s="88">
        <f t="shared" si="1"/>
        <v>425.96000000000004</v>
      </c>
    </row>
    <row r="8" spans="1:36" ht="17.25" customHeight="1">
      <c r="A8" s="15" t="s">
        <v>184</v>
      </c>
      <c r="B8" s="108"/>
      <c r="C8" s="108"/>
      <c r="D8" s="108"/>
      <c r="E8" s="109"/>
      <c r="F8" s="88">
        <v>7.4199999999999982</v>
      </c>
      <c r="G8" s="88">
        <v>7.9751448702400012</v>
      </c>
      <c r="H8" s="88">
        <v>-5.1988624297600081</v>
      </c>
      <c r="I8" s="87">
        <v>9.4239705703027816</v>
      </c>
      <c r="J8" s="88">
        <v>0.7264078312197455</v>
      </c>
      <c r="K8" s="88">
        <v>0.4490060116653467</v>
      </c>
      <c r="L8" s="88">
        <v>3.2713182312251377</v>
      </c>
      <c r="M8" s="87">
        <v>3.9068725418228212</v>
      </c>
      <c r="N8" s="88">
        <v>2.1247559324001202</v>
      </c>
      <c r="O8" s="88">
        <v>6.2975314475975779</v>
      </c>
      <c r="P8" s="88">
        <v>8.6977574001694506</v>
      </c>
      <c r="Q8" s="88">
        <v>70.6359206714706</v>
      </c>
      <c r="R8" s="88"/>
      <c r="S8" s="88"/>
      <c r="T8" s="88">
        <v>19.620253010782772</v>
      </c>
      <c r="U8" s="88">
        <v>8.353604615933051</v>
      </c>
      <c r="V8" s="88">
        <f t="shared" si="1"/>
        <v>87.755965451637749</v>
      </c>
    </row>
    <row r="9" spans="1:36" ht="17.25" customHeight="1">
      <c r="A9" s="40" t="s">
        <v>180</v>
      </c>
      <c r="B9" s="41"/>
      <c r="C9" s="41"/>
      <c r="D9" s="41"/>
      <c r="E9" s="42"/>
      <c r="F9" s="151">
        <f t="shared" ref="F9:Q9" si="3">SUM(F7:F8)</f>
        <v>71.657500000000013</v>
      </c>
      <c r="G9" s="151">
        <f t="shared" si="3"/>
        <v>55.980402240479997</v>
      </c>
      <c r="H9" s="151">
        <f t="shared" si="3"/>
        <v>76.466394940480001</v>
      </c>
      <c r="I9" s="151">
        <f t="shared" si="3"/>
        <v>99.585955829822794</v>
      </c>
      <c r="J9" s="151">
        <f t="shared" si="3"/>
        <v>99.57640783121974</v>
      </c>
      <c r="K9" s="151">
        <f t="shared" si="3"/>
        <v>129.33900601166533</v>
      </c>
      <c r="L9" s="151">
        <f t="shared" si="3"/>
        <v>155.34131823122516</v>
      </c>
      <c r="M9" s="151">
        <f t="shared" si="3"/>
        <v>193.89687254182286</v>
      </c>
      <c r="N9" s="151">
        <f t="shared" si="3"/>
        <v>98.554755932400127</v>
      </c>
      <c r="O9" s="151">
        <f t="shared" si="3"/>
        <v>108.24753144759757</v>
      </c>
      <c r="P9" s="151">
        <f t="shared" si="3"/>
        <v>115.63775740016945</v>
      </c>
      <c r="Q9" s="151">
        <f t="shared" si="3"/>
        <v>191.2759206714706</v>
      </c>
      <c r="R9" s="88"/>
      <c r="S9" s="151"/>
      <c r="T9" s="151">
        <f t="shared" ref="T9:T16" si="4">SUM(F9:I9)</f>
        <v>303.69025301078278</v>
      </c>
      <c r="U9" s="151">
        <f t="shared" si="0"/>
        <v>578.15360461593309</v>
      </c>
      <c r="V9" s="151">
        <f t="shared" si="1"/>
        <v>513.71596545163766</v>
      </c>
    </row>
    <row r="10" spans="1:36" ht="17.25" customHeight="1">
      <c r="A10" s="40" t="s">
        <v>181</v>
      </c>
      <c r="B10" s="41"/>
      <c r="C10" s="41"/>
      <c r="D10" s="41"/>
      <c r="E10" s="42"/>
      <c r="F10" s="151">
        <f t="shared" ref="F10:Q10" si="5">F6+F9</f>
        <v>493.77824642774601</v>
      </c>
      <c r="G10" s="151">
        <f t="shared" si="5"/>
        <v>515.91030695527422</v>
      </c>
      <c r="H10" s="151">
        <f t="shared" si="5"/>
        <v>622.52067184103237</v>
      </c>
      <c r="I10" s="152">
        <f t="shared" si="5"/>
        <v>716.8928639522519</v>
      </c>
      <c r="J10" s="151">
        <f t="shared" si="5"/>
        <v>769.30243360206487</v>
      </c>
      <c r="K10" s="151">
        <f t="shared" si="5"/>
        <v>859.40550796758873</v>
      </c>
      <c r="L10" s="151">
        <f t="shared" si="5"/>
        <v>982.09366918656883</v>
      </c>
      <c r="M10" s="152">
        <f t="shared" si="5"/>
        <v>1033.1883973944184</v>
      </c>
      <c r="N10" s="151">
        <f t="shared" si="5"/>
        <v>998.01240211659626</v>
      </c>
      <c r="O10" s="151">
        <f t="shared" si="5"/>
        <v>1047.8225096238027</v>
      </c>
      <c r="P10" s="151">
        <f t="shared" si="5"/>
        <v>1193.8190119449077</v>
      </c>
      <c r="Q10" s="151">
        <f t="shared" si="5"/>
        <v>1315.7837389681099</v>
      </c>
      <c r="R10" s="88"/>
      <c r="S10" s="151"/>
      <c r="T10" s="151">
        <f t="shared" si="4"/>
        <v>2349.1020891763046</v>
      </c>
      <c r="U10" s="151">
        <f t="shared" si="0"/>
        <v>3643.9900081506412</v>
      </c>
      <c r="V10" s="151">
        <f t="shared" si="1"/>
        <v>4555.4376626534167</v>
      </c>
    </row>
    <row r="11" spans="1:36" ht="17.25" customHeight="1">
      <c r="A11" s="15" t="s">
        <v>41</v>
      </c>
      <c r="B11" s="43"/>
      <c r="C11" s="43"/>
      <c r="D11" s="43"/>
      <c r="E11" s="55"/>
      <c r="F11" s="88">
        <v>310.56452157814391</v>
      </c>
      <c r="G11" s="88">
        <v>279.21425514370742</v>
      </c>
      <c r="H11" s="88">
        <v>398.59054039883694</v>
      </c>
      <c r="I11" s="87">
        <v>493.66737277123116</v>
      </c>
      <c r="J11" s="88">
        <v>515.70400839137574</v>
      </c>
      <c r="K11" s="88">
        <v>538.02074147523183</v>
      </c>
      <c r="L11" s="88">
        <v>571.38140635646255</v>
      </c>
      <c r="M11" s="87">
        <v>608.04538180661837</v>
      </c>
      <c r="N11" s="88">
        <v>623.39836111101306</v>
      </c>
      <c r="O11" s="88">
        <v>650.97372661446923</v>
      </c>
      <c r="P11" s="153">
        <f>694.728054654052-0.15</f>
        <v>694.57805465405204</v>
      </c>
      <c r="Q11" s="88">
        <v>696.66159113431172</v>
      </c>
      <c r="R11" s="88"/>
      <c r="S11" s="88"/>
      <c r="T11" s="88">
        <f t="shared" si="4"/>
        <v>1482.0366898919194</v>
      </c>
      <c r="U11" s="88">
        <f t="shared" si="0"/>
        <v>2233.1515380296883</v>
      </c>
      <c r="V11" s="88">
        <f t="shared" si="1"/>
        <v>2665.611733513846</v>
      </c>
      <c r="X11" s="132"/>
    </row>
    <row r="12" spans="1:36" ht="17.25" customHeight="1">
      <c r="A12" s="40" t="s">
        <v>42</v>
      </c>
      <c r="B12" s="41"/>
      <c r="C12" s="41"/>
      <c r="D12" s="41"/>
      <c r="E12" s="42"/>
      <c r="F12" s="151">
        <f>F10-F11</f>
        <v>183.2137248496021</v>
      </c>
      <c r="G12" s="151">
        <f t="shared" ref="G12:Q12" si="6">G10-G11</f>
        <v>236.6960518115668</v>
      </c>
      <c r="H12" s="151">
        <f t="shared" si="6"/>
        <v>223.93013144219543</v>
      </c>
      <c r="I12" s="152">
        <f t="shared" si="6"/>
        <v>223.22549118102074</v>
      </c>
      <c r="J12" s="151">
        <f t="shared" si="6"/>
        <v>253.59842521068913</v>
      </c>
      <c r="K12" s="151">
        <f t="shared" si="6"/>
        <v>321.3847664923569</v>
      </c>
      <c r="L12" s="151">
        <f t="shared" si="6"/>
        <v>410.71226283010628</v>
      </c>
      <c r="M12" s="152">
        <f t="shared" si="6"/>
        <v>425.14301558780005</v>
      </c>
      <c r="N12" s="151">
        <f t="shared" si="6"/>
        <v>374.6140410055832</v>
      </c>
      <c r="O12" s="151">
        <f t="shared" si="6"/>
        <v>396.84878300933349</v>
      </c>
      <c r="P12" s="151">
        <f t="shared" si="6"/>
        <v>499.2409572908557</v>
      </c>
      <c r="Q12" s="151">
        <f t="shared" si="6"/>
        <v>619.12214783379818</v>
      </c>
      <c r="R12" s="88"/>
      <c r="S12" s="151"/>
      <c r="T12" s="88">
        <f t="shared" si="4"/>
        <v>867.06539928438508</v>
      </c>
      <c r="U12" s="88">
        <f t="shared" si="0"/>
        <v>1410.8384701209525</v>
      </c>
      <c r="V12" s="88">
        <f t="shared" si="1"/>
        <v>1889.8259291395705</v>
      </c>
      <c r="X12" s="147"/>
    </row>
    <row r="13" spans="1:36" ht="17.25" customHeight="1">
      <c r="A13" s="122" t="s">
        <v>162</v>
      </c>
      <c r="B13" s="41"/>
      <c r="C13" s="41"/>
      <c r="D13" s="41"/>
      <c r="E13" s="42"/>
      <c r="F13" s="88">
        <v>42.977848037106156</v>
      </c>
      <c r="G13" s="88">
        <v>78.11444133055025</v>
      </c>
      <c r="H13" s="88">
        <v>182.81445592554621</v>
      </c>
      <c r="I13" s="88">
        <v>208.33493224592166</v>
      </c>
      <c r="J13" s="88">
        <v>74.073373944490172</v>
      </c>
      <c r="K13" s="88">
        <v>195.75065051864047</v>
      </c>
      <c r="L13" s="88">
        <v>160.83153964304404</v>
      </c>
      <c r="M13" s="88">
        <v>189.6567426602993</v>
      </c>
      <c r="N13" s="88">
        <v>222.21298602033406</v>
      </c>
      <c r="O13" s="88">
        <v>259.78016266358122</v>
      </c>
      <c r="P13" s="146">
        <v>344.71079203716488</v>
      </c>
      <c r="Q13" s="88">
        <v>327.25212403584743</v>
      </c>
      <c r="R13" s="88"/>
      <c r="S13" s="151"/>
      <c r="T13" s="88">
        <f>SUM(F13:I13)</f>
        <v>512.24167753912434</v>
      </c>
      <c r="U13" s="88">
        <f>SUM(J13:M13)</f>
        <v>620.31230676647397</v>
      </c>
      <c r="V13" s="88">
        <f t="shared" si="1"/>
        <v>1153.9560647569276</v>
      </c>
    </row>
    <row r="14" spans="1:36" ht="17.25" customHeight="1">
      <c r="A14" s="122" t="s">
        <v>234</v>
      </c>
      <c r="B14" s="41"/>
      <c r="C14" s="41"/>
      <c r="D14" s="41"/>
      <c r="E14" s="42"/>
      <c r="F14" s="146">
        <v>171.30323859603101</v>
      </c>
      <c r="G14" s="146">
        <v>97.301389618044169</v>
      </c>
      <c r="H14" s="146">
        <v>107.74998578072427</v>
      </c>
      <c r="I14" s="146">
        <v>19.44486302821543</v>
      </c>
      <c r="J14" s="146">
        <v>53.013775393962469</v>
      </c>
      <c r="K14" s="146">
        <v>104.3615359840397</v>
      </c>
      <c r="L14" s="146">
        <v>57.908914007866485</v>
      </c>
      <c r="M14" s="146">
        <v>37.707146958965382</v>
      </c>
      <c r="N14" s="146">
        <v>52.085629445848525</v>
      </c>
      <c r="O14" s="146">
        <v>36.327100000000002</v>
      </c>
      <c r="P14" s="146">
        <v>57.4469273424356</v>
      </c>
      <c r="Q14" s="88">
        <v>14.74</v>
      </c>
      <c r="R14" s="88"/>
      <c r="S14" s="151"/>
      <c r="T14" s="88">
        <f>SUM(F14:I14)</f>
        <v>395.7994770230149</v>
      </c>
      <c r="U14" s="88">
        <f>SUM(J14:M14)</f>
        <v>252.99137234483405</v>
      </c>
      <c r="V14" s="88">
        <f t="shared" si="1"/>
        <v>160.59965678828414</v>
      </c>
    </row>
    <row r="15" spans="1:36" s="44" customFormat="1" ht="17.25" customHeight="1">
      <c r="A15" s="40" t="s">
        <v>211</v>
      </c>
      <c r="B15" s="41"/>
      <c r="C15" s="41"/>
      <c r="D15" s="41"/>
      <c r="E15" s="42"/>
      <c r="F15" s="151">
        <f>F13-F14</f>
        <v>-128.32539055892485</v>
      </c>
      <c r="G15" s="151">
        <f t="shared" ref="G15:Q15" si="7">G13-G14</f>
        <v>-19.186948287493919</v>
      </c>
      <c r="H15" s="151">
        <f t="shared" si="7"/>
        <v>75.064470144821939</v>
      </c>
      <c r="I15" s="151">
        <f t="shared" si="7"/>
        <v>188.89006921770624</v>
      </c>
      <c r="J15" s="151">
        <f t="shared" si="7"/>
        <v>21.059598550527703</v>
      </c>
      <c r="K15" s="151">
        <f t="shared" si="7"/>
        <v>91.389114534600765</v>
      </c>
      <c r="L15" s="151">
        <f t="shared" si="7"/>
        <v>102.92262563517755</v>
      </c>
      <c r="M15" s="151">
        <f t="shared" si="7"/>
        <v>151.94959570133392</v>
      </c>
      <c r="N15" s="151">
        <f t="shared" si="7"/>
        <v>170.12735657448553</v>
      </c>
      <c r="O15" s="151">
        <f t="shared" si="7"/>
        <v>223.45306266358122</v>
      </c>
      <c r="P15" s="151">
        <f t="shared" si="7"/>
        <v>287.26386469472925</v>
      </c>
      <c r="Q15" s="151">
        <f t="shared" si="7"/>
        <v>312.51212403584742</v>
      </c>
      <c r="R15" s="151"/>
      <c r="S15" s="151"/>
      <c r="T15" s="151">
        <f t="shared" si="4"/>
        <v>116.44220051610941</v>
      </c>
      <c r="U15" s="151">
        <f t="shared" si="0"/>
        <v>367.32093442163995</v>
      </c>
      <c r="V15" s="151">
        <f t="shared" si="1"/>
        <v>993.35640796864345</v>
      </c>
      <c r="X15" s="124"/>
    </row>
    <row r="16" spans="1:36" ht="17.25" customHeight="1">
      <c r="A16" s="40" t="s">
        <v>46</v>
      </c>
      <c r="B16" s="41"/>
      <c r="C16" s="41"/>
      <c r="D16" s="41"/>
      <c r="E16" s="42"/>
      <c r="F16" s="151">
        <f t="shared" ref="F16:Q16" si="8">F12-F15</f>
        <v>311.53911540852698</v>
      </c>
      <c r="G16" s="151">
        <f t="shared" si="8"/>
        <v>255.88300009906072</v>
      </c>
      <c r="H16" s="151">
        <f t="shared" si="8"/>
        <v>148.86566129737349</v>
      </c>
      <c r="I16" s="151">
        <f t="shared" si="8"/>
        <v>34.335421963314502</v>
      </c>
      <c r="J16" s="151">
        <f t="shared" si="8"/>
        <v>232.53882666016142</v>
      </c>
      <c r="K16" s="151">
        <f t="shared" si="8"/>
        <v>229.99565195775614</v>
      </c>
      <c r="L16" s="151">
        <f t="shared" si="8"/>
        <v>307.78963719492873</v>
      </c>
      <c r="M16" s="151">
        <f t="shared" si="8"/>
        <v>273.19341988646613</v>
      </c>
      <c r="N16" s="151">
        <f t="shared" si="8"/>
        <v>204.48668443109767</v>
      </c>
      <c r="O16" s="151">
        <f t="shared" si="8"/>
        <v>173.39572034575227</v>
      </c>
      <c r="P16" s="151">
        <f t="shared" si="8"/>
        <v>211.97709259612645</v>
      </c>
      <c r="Q16" s="151">
        <f t="shared" si="8"/>
        <v>306.61002379795076</v>
      </c>
      <c r="R16" s="88"/>
      <c r="S16" s="151"/>
      <c r="T16" s="151">
        <f t="shared" si="4"/>
        <v>750.62319876827564</v>
      </c>
      <c r="U16" s="151">
        <f t="shared" si="0"/>
        <v>1043.5175356993122</v>
      </c>
      <c r="V16" s="151">
        <f t="shared" si="1"/>
        <v>896.46952117092724</v>
      </c>
      <c r="X16" s="43"/>
    </row>
    <row r="17" spans="1:25" ht="17.25" customHeight="1"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5" ht="17.25" customHeight="1">
      <c r="A18" s="56" t="s">
        <v>253</v>
      </c>
      <c r="B18" s="57"/>
      <c r="C18" s="57"/>
      <c r="D18" s="57"/>
      <c r="E18" s="58"/>
      <c r="F18" s="57"/>
      <c r="G18" s="57"/>
      <c r="H18" s="57"/>
      <c r="I18" s="58"/>
      <c r="J18" s="57"/>
      <c r="K18" s="57"/>
      <c r="L18" s="57"/>
      <c r="M18" s="58"/>
      <c r="N18" s="57"/>
      <c r="O18" s="57"/>
      <c r="P18" s="57"/>
      <c r="Q18" s="59"/>
      <c r="R18" s="59"/>
      <c r="S18" s="57"/>
      <c r="T18" s="57"/>
      <c r="U18" s="57"/>
      <c r="V18" s="57"/>
    </row>
    <row r="19" spans="1:25" ht="17.25" customHeight="1">
      <c r="A19" s="15" t="s">
        <v>50</v>
      </c>
      <c r="B19" s="43"/>
      <c r="C19" s="43"/>
      <c r="D19" s="43"/>
      <c r="E19" s="55"/>
      <c r="F19" s="43">
        <v>1234.6743376560134</v>
      </c>
      <c r="G19" s="43">
        <v>991.085370901847</v>
      </c>
      <c r="H19" s="43">
        <v>1059.5226333195533</v>
      </c>
      <c r="I19" s="55">
        <v>824.6700448111701</v>
      </c>
      <c r="J19" s="43">
        <v>474.73671861266223</v>
      </c>
      <c r="K19" s="43">
        <v>431.96793999982174</v>
      </c>
      <c r="L19" s="43">
        <v>394.10725521935973</v>
      </c>
      <c r="M19" s="55">
        <v>224.48365681564212</v>
      </c>
      <c r="N19" s="43">
        <v>132.156606115861</v>
      </c>
      <c r="O19" s="43">
        <v>154.4259284894579</v>
      </c>
      <c r="P19" s="43">
        <v>136.09366344601193</v>
      </c>
      <c r="Q19" s="88">
        <v>82.4290929528931</v>
      </c>
      <c r="S19" s="43"/>
      <c r="T19" s="43">
        <f>SUM(F19:I19)</f>
        <v>4109.9523866885838</v>
      </c>
      <c r="U19" s="43">
        <f>SUM(J19:M19)</f>
        <v>1525.2955706474859</v>
      </c>
      <c r="V19" s="43">
        <f>SUM(N19:Q19)</f>
        <v>505.10529100422389</v>
      </c>
    </row>
    <row r="20" spans="1:25" ht="17.25" customHeight="1">
      <c r="A20" s="15" t="s">
        <v>38</v>
      </c>
      <c r="B20" s="43"/>
      <c r="C20" s="43"/>
      <c r="D20" s="43"/>
      <c r="E20" s="55"/>
      <c r="F20" s="43">
        <v>691.53059488050974</v>
      </c>
      <c r="G20" s="43">
        <v>638.04727533313519</v>
      </c>
      <c r="H20" s="43">
        <v>554.29976075588593</v>
      </c>
      <c r="I20" s="55">
        <v>507.26602193726973</v>
      </c>
      <c r="J20" s="43">
        <v>450.0827443835073</v>
      </c>
      <c r="K20" s="43">
        <v>398.92444195574524</v>
      </c>
      <c r="L20" s="43">
        <v>370.98929193470275</v>
      </c>
      <c r="M20" s="55">
        <v>299.68620131505253</v>
      </c>
      <c r="N20" s="43">
        <v>208.43464869547685</v>
      </c>
      <c r="O20" s="43">
        <v>202.51812077935634</v>
      </c>
      <c r="P20" s="43">
        <v>171.19854790315054</v>
      </c>
      <c r="Q20" s="88">
        <v>145.48999524236251</v>
      </c>
      <c r="S20" s="43"/>
      <c r="T20" s="43">
        <f>SUM(F20:I20)</f>
        <v>2391.1436529068005</v>
      </c>
      <c r="U20" s="43">
        <f t="shared" ref="U20:U29" si="9">SUM(J20:M20)</f>
        <v>1519.6826795890079</v>
      </c>
      <c r="V20" s="43">
        <f t="shared" ref="V20:V29" si="10">SUM(N20:Q20)</f>
        <v>727.6413126203463</v>
      </c>
    </row>
    <row r="21" spans="1:25" ht="17.25" customHeight="1">
      <c r="A21" s="40" t="s">
        <v>179</v>
      </c>
      <c r="B21" s="41"/>
      <c r="C21" s="41"/>
      <c r="D21" s="41"/>
      <c r="E21" s="42"/>
      <c r="F21" s="41">
        <f t="shared" ref="F21:Q21" si="11">F19-F20</f>
        <v>543.14374277550371</v>
      </c>
      <c r="G21" s="41">
        <f t="shared" si="11"/>
        <v>353.03809556871181</v>
      </c>
      <c r="H21" s="41">
        <f t="shared" si="11"/>
        <v>505.22287256366735</v>
      </c>
      <c r="I21" s="42">
        <f t="shared" si="11"/>
        <v>317.40402287390037</v>
      </c>
      <c r="J21" s="41">
        <f t="shared" si="11"/>
        <v>24.653974229154926</v>
      </c>
      <c r="K21" s="41">
        <f t="shared" si="11"/>
        <v>33.0434980440765</v>
      </c>
      <c r="L21" s="41">
        <f t="shared" si="11"/>
        <v>23.11796328465698</v>
      </c>
      <c r="M21" s="42">
        <f t="shared" si="11"/>
        <v>-75.202544499410408</v>
      </c>
      <c r="N21" s="41">
        <f t="shared" si="11"/>
        <v>-76.278042579615857</v>
      </c>
      <c r="O21" s="41">
        <f t="shared" si="11"/>
        <v>-48.092192289898435</v>
      </c>
      <c r="P21" s="41">
        <f t="shared" si="11"/>
        <v>-35.10488445713861</v>
      </c>
      <c r="Q21" s="41">
        <f t="shared" si="11"/>
        <v>-63.060902289469411</v>
      </c>
      <c r="S21" s="41"/>
      <c r="T21" s="41">
        <f>SUM(F21:I21)</f>
        <v>1718.8087337817833</v>
      </c>
      <c r="U21" s="41">
        <f t="shared" si="9"/>
        <v>5.6128910584779987</v>
      </c>
      <c r="V21" s="41">
        <f t="shared" si="10"/>
        <v>-222.5360216161223</v>
      </c>
    </row>
    <row r="22" spans="1:25" ht="17.25" customHeight="1">
      <c r="A22" s="15" t="s">
        <v>39</v>
      </c>
      <c r="B22" s="108"/>
      <c r="C22" s="108"/>
      <c r="D22" s="108"/>
      <c r="E22" s="109"/>
      <c r="F22" s="110">
        <v>2.0000000000000009</v>
      </c>
      <c r="G22" s="110">
        <v>2.6322426297599995</v>
      </c>
      <c r="H22" s="110">
        <v>2.6322426297599995</v>
      </c>
      <c r="I22" s="109">
        <v>0.92551474048000038</v>
      </c>
      <c r="J22" s="110">
        <v>0</v>
      </c>
      <c r="K22" s="110">
        <v>0</v>
      </c>
      <c r="L22" s="110">
        <v>0</v>
      </c>
      <c r="M22" s="109">
        <v>6.2</v>
      </c>
      <c r="N22" s="43">
        <v>12</v>
      </c>
      <c r="O22" s="43">
        <v>0</v>
      </c>
      <c r="P22" s="43">
        <v>0</v>
      </c>
      <c r="Q22" s="88">
        <v>0</v>
      </c>
      <c r="S22" s="43"/>
      <c r="T22" s="43">
        <f>SUM(F22:I22)</f>
        <v>8.19</v>
      </c>
      <c r="U22" s="43">
        <f t="shared" si="9"/>
        <v>6.2</v>
      </c>
      <c r="V22" s="43">
        <f t="shared" si="10"/>
        <v>12</v>
      </c>
    </row>
    <row r="23" spans="1:25" ht="17.25" customHeight="1">
      <c r="A23" s="15" t="s">
        <v>184</v>
      </c>
      <c r="B23" s="108"/>
      <c r="C23" s="108"/>
      <c r="D23" s="108"/>
      <c r="E23" s="109"/>
      <c r="F23" s="110">
        <v>1.2999999999999998</v>
      </c>
      <c r="G23" s="110">
        <v>44.892612499999998</v>
      </c>
      <c r="H23" s="110">
        <v>-2.6125000000014609E-3</v>
      </c>
      <c r="I23" s="109">
        <v>0</v>
      </c>
      <c r="J23" s="110">
        <v>0</v>
      </c>
      <c r="K23" s="110">
        <v>0</v>
      </c>
      <c r="L23" s="110">
        <v>0</v>
      </c>
      <c r="M23" s="109">
        <v>53.986243699999996</v>
      </c>
      <c r="N23" s="43">
        <v>0</v>
      </c>
      <c r="O23" s="43">
        <v>0</v>
      </c>
      <c r="P23" s="43">
        <v>1.8008379599999955</v>
      </c>
      <c r="Q23" s="88">
        <v>1.750967622999994</v>
      </c>
      <c r="S23" s="43"/>
      <c r="T23" s="43">
        <v>46.19</v>
      </c>
      <c r="U23" s="43">
        <v>53.986243699999996</v>
      </c>
      <c r="V23" s="43">
        <f t="shared" si="10"/>
        <v>3.5518055829999895</v>
      </c>
    </row>
    <row r="24" spans="1:25" ht="17.25" customHeight="1">
      <c r="A24" s="40" t="s">
        <v>180</v>
      </c>
      <c r="B24" s="41"/>
      <c r="C24" s="41"/>
      <c r="D24" s="41"/>
      <c r="E24" s="42"/>
      <c r="F24" s="41">
        <f t="shared" ref="F24:O24" si="12">SUM(F22:F23)</f>
        <v>3.3000000000000007</v>
      </c>
      <c r="G24" s="41">
        <f t="shared" si="12"/>
        <v>47.524855129759999</v>
      </c>
      <c r="H24" s="41">
        <f t="shared" si="12"/>
        <v>2.629630129759998</v>
      </c>
      <c r="I24" s="41">
        <f t="shared" si="12"/>
        <v>0.92551474048000038</v>
      </c>
      <c r="J24" s="41">
        <f t="shared" si="12"/>
        <v>0</v>
      </c>
      <c r="K24" s="41">
        <f t="shared" si="12"/>
        <v>0</v>
      </c>
      <c r="L24" s="41">
        <f t="shared" si="12"/>
        <v>0</v>
      </c>
      <c r="M24" s="41">
        <f t="shared" si="12"/>
        <v>60.186243699999999</v>
      </c>
      <c r="N24" s="41">
        <f t="shared" si="12"/>
        <v>12</v>
      </c>
      <c r="O24" s="41">
        <f t="shared" si="12"/>
        <v>0</v>
      </c>
      <c r="P24" s="41">
        <f t="shared" ref="P24:Q24" si="13">SUM(P22:P23)</f>
        <v>1.8008379599999955</v>
      </c>
      <c r="Q24" s="41">
        <f t="shared" si="13"/>
        <v>1.750967622999994</v>
      </c>
      <c r="S24" s="41"/>
      <c r="T24" s="41">
        <f t="shared" ref="T24:T29" si="14">SUM(F24:I24)</f>
        <v>54.379999999999988</v>
      </c>
      <c r="U24" s="41">
        <f t="shared" si="9"/>
        <v>60.186243699999999</v>
      </c>
      <c r="V24" s="41">
        <f t="shared" si="10"/>
        <v>15.551805582999989</v>
      </c>
    </row>
    <row r="25" spans="1:25" ht="17.25" customHeight="1">
      <c r="A25" s="40" t="s">
        <v>181</v>
      </c>
      <c r="B25" s="41"/>
      <c r="C25" s="41"/>
      <c r="D25" s="41"/>
      <c r="E25" s="42"/>
      <c r="F25" s="41">
        <f t="shared" ref="F25:Q25" si="15">F21+F24</f>
        <v>546.44374277550367</v>
      </c>
      <c r="G25" s="41">
        <f t="shared" si="15"/>
        <v>400.56295069847181</v>
      </c>
      <c r="H25" s="41">
        <f t="shared" si="15"/>
        <v>507.85250269342737</v>
      </c>
      <c r="I25" s="42">
        <f t="shared" si="15"/>
        <v>318.3295376143804</v>
      </c>
      <c r="J25" s="41">
        <f t="shared" si="15"/>
        <v>24.653974229154926</v>
      </c>
      <c r="K25" s="41">
        <f t="shared" si="15"/>
        <v>33.0434980440765</v>
      </c>
      <c r="L25" s="41">
        <f t="shared" si="15"/>
        <v>23.11796328465698</v>
      </c>
      <c r="M25" s="42">
        <f t="shared" si="15"/>
        <v>-15.016300799410409</v>
      </c>
      <c r="N25" s="41">
        <f t="shared" si="15"/>
        <v>-64.278042579615857</v>
      </c>
      <c r="O25" s="41">
        <f t="shared" si="15"/>
        <v>-48.092192289898435</v>
      </c>
      <c r="P25" s="41">
        <f t="shared" si="15"/>
        <v>-33.304046497138614</v>
      </c>
      <c r="Q25" s="41">
        <f t="shared" si="15"/>
        <v>-61.309934666469417</v>
      </c>
      <c r="S25" s="41"/>
      <c r="T25" s="41">
        <f t="shared" si="14"/>
        <v>1773.1887337817832</v>
      </c>
      <c r="U25" s="41">
        <f t="shared" si="9"/>
        <v>65.799134758478004</v>
      </c>
      <c r="V25" s="41">
        <f t="shared" si="10"/>
        <v>-206.98421603312232</v>
      </c>
    </row>
    <row r="26" spans="1:25" ht="17.25" customHeight="1">
      <c r="A26" s="15" t="s">
        <v>41</v>
      </c>
      <c r="B26" s="43"/>
      <c r="C26" s="43"/>
      <c r="D26" s="43"/>
      <c r="E26" s="55"/>
      <c r="F26" s="43">
        <v>92.14580963275607</v>
      </c>
      <c r="G26" s="43">
        <v>225.26397510885215</v>
      </c>
      <c r="H26" s="43">
        <v>79.410704495472174</v>
      </c>
      <c r="I26" s="55">
        <v>143.73200000000003</v>
      </c>
      <c r="J26" s="43">
        <v>87.321918413896583</v>
      </c>
      <c r="K26" s="43">
        <v>96.238207156525903</v>
      </c>
      <c r="L26" s="43">
        <v>103.80979984992747</v>
      </c>
      <c r="M26" s="55">
        <v>118.19489428900164</v>
      </c>
      <c r="N26" s="43">
        <v>51.769999999999996</v>
      </c>
      <c r="O26" s="43">
        <v>56.92808860454786</v>
      </c>
      <c r="P26" s="9">
        <f>51.6421070983779</f>
        <v>51.642107098377899</v>
      </c>
      <c r="Q26" s="88">
        <v>44.046753345858455</v>
      </c>
      <c r="S26" s="43"/>
      <c r="T26" s="43">
        <f t="shared" si="14"/>
        <v>540.55248923708041</v>
      </c>
      <c r="U26" s="43">
        <f t="shared" si="9"/>
        <v>405.56481970935158</v>
      </c>
      <c r="V26" s="43">
        <f t="shared" si="10"/>
        <v>204.3869490487842</v>
      </c>
    </row>
    <row r="27" spans="1:25" ht="17.25" customHeight="1">
      <c r="A27" s="40" t="s">
        <v>42</v>
      </c>
      <c r="B27" s="41"/>
      <c r="C27" s="41"/>
      <c r="D27" s="41"/>
      <c r="E27" s="42"/>
      <c r="F27" s="41">
        <f t="shared" ref="F27:Q27" si="16">F25-F26</f>
        <v>454.29793314274758</v>
      </c>
      <c r="G27" s="41">
        <f t="shared" si="16"/>
        <v>175.29897558961966</v>
      </c>
      <c r="H27" s="41">
        <f t="shared" si="16"/>
        <v>428.44179819795522</v>
      </c>
      <c r="I27" s="42">
        <f t="shared" si="16"/>
        <v>174.59753761438037</v>
      </c>
      <c r="J27" s="41">
        <f t="shared" si="16"/>
        <v>-62.667944184741657</v>
      </c>
      <c r="K27" s="41">
        <f t="shared" si="16"/>
        <v>-63.194709112449402</v>
      </c>
      <c r="L27" s="41">
        <f t="shared" si="16"/>
        <v>-80.691836565270492</v>
      </c>
      <c r="M27" s="42">
        <f t="shared" si="16"/>
        <v>-133.21119508841204</v>
      </c>
      <c r="N27" s="41">
        <f t="shared" si="16"/>
        <v>-116.04804257961585</v>
      </c>
      <c r="O27" s="41">
        <f t="shared" si="16"/>
        <v>-105.0202808944463</v>
      </c>
      <c r="P27" s="41">
        <f t="shared" si="16"/>
        <v>-84.946153595516506</v>
      </c>
      <c r="Q27" s="41">
        <f t="shared" si="16"/>
        <v>-105.35668801232788</v>
      </c>
      <c r="S27" s="41"/>
      <c r="T27" s="41">
        <f t="shared" si="14"/>
        <v>1232.6362445447028</v>
      </c>
      <c r="U27" s="41">
        <f t="shared" si="9"/>
        <v>-339.76568495087361</v>
      </c>
      <c r="V27" s="41">
        <f t="shared" si="10"/>
        <v>-411.37116508190655</v>
      </c>
      <c r="W27" s="43"/>
      <c r="X27" s="43"/>
    </row>
    <row r="28" spans="1:25" s="124" customFormat="1" ht="17.25" customHeight="1">
      <c r="A28" s="15" t="s">
        <v>43</v>
      </c>
      <c r="B28" s="93"/>
      <c r="C28" s="93"/>
      <c r="D28" s="93"/>
      <c r="E28" s="123"/>
      <c r="F28" s="93">
        <v>208.8330977009249</v>
      </c>
      <c r="G28" s="93">
        <v>3293.4992746854341</v>
      </c>
      <c r="H28" s="93">
        <v>1603.3454963152378</v>
      </c>
      <c r="I28" s="123">
        <v>114.68545191429348</v>
      </c>
      <c r="J28" s="93">
        <v>161.35900654947233</v>
      </c>
      <c r="K28" s="93">
        <v>105.91807707242032</v>
      </c>
      <c r="L28" s="93">
        <v>3715.84</v>
      </c>
      <c r="M28" s="123">
        <v>1672.27777564954</v>
      </c>
      <c r="N28" s="110">
        <v>-140.14291860882099</v>
      </c>
      <c r="O28" s="93">
        <v>24.371646715662095</v>
      </c>
      <c r="P28" s="93">
        <v>-15.367250171593014</v>
      </c>
      <c r="Q28" s="146">
        <v>223.41999999999996</v>
      </c>
      <c r="S28" s="93"/>
      <c r="T28" s="93">
        <f>SUM(F28:I28)</f>
        <v>5220.3633206158902</v>
      </c>
      <c r="U28" s="93">
        <f>SUM(J28:M28)</f>
        <v>5655.3948592714323</v>
      </c>
      <c r="V28" s="43">
        <f t="shared" si="10"/>
        <v>92.281477935248063</v>
      </c>
      <c r="W28" s="93"/>
    </row>
    <row r="29" spans="1:25" ht="17.25" customHeight="1">
      <c r="A29" s="40" t="s">
        <v>46</v>
      </c>
      <c r="B29" s="41"/>
      <c r="C29" s="41"/>
      <c r="D29" s="41"/>
      <c r="E29" s="42"/>
      <c r="F29" s="41">
        <f>F27-F28</f>
        <v>245.46483544182269</v>
      </c>
      <c r="G29" s="41">
        <f t="shared" ref="G29:Q29" si="17">G27-G28</f>
        <v>-3118.2002990958144</v>
      </c>
      <c r="H29" s="41">
        <f t="shared" si="17"/>
        <v>-1174.9036981172826</v>
      </c>
      <c r="I29" s="41">
        <f t="shared" si="17"/>
        <v>59.912085700086891</v>
      </c>
      <c r="J29" s="41">
        <f t="shared" si="17"/>
        <v>-224.02695073421398</v>
      </c>
      <c r="K29" s="41">
        <f t="shared" si="17"/>
        <v>-169.11278618486972</v>
      </c>
      <c r="L29" s="41">
        <f t="shared" si="17"/>
        <v>-3796.5318365652706</v>
      </c>
      <c r="M29" s="41">
        <f t="shared" si="17"/>
        <v>-1805.4889707379521</v>
      </c>
      <c r="N29" s="41">
        <f t="shared" si="17"/>
        <v>24.094876029205139</v>
      </c>
      <c r="O29" s="41">
        <f t="shared" si="17"/>
        <v>-129.39192761010838</v>
      </c>
      <c r="P29" s="41">
        <f t="shared" si="17"/>
        <v>-69.578903423923492</v>
      </c>
      <c r="Q29" s="41">
        <f t="shared" si="17"/>
        <v>-328.77668801232784</v>
      </c>
      <c r="S29" s="41"/>
      <c r="T29" s="41">
        <f t="shared" si="14"/>
        <v>-3987.7270760711872</v>
      </c>
      <c r="U29" s="41">
        <f t="shared" si="9"/>
        <v>-5995.1605442223063</v>
      </c>
      <c r="V29" s="41">
        <f t="shared" si="10"/>
        <v>-503.65264301715456</v>
      </c>
      <c r="W29" s="135"/>
      <c r="X29" s="43"/>
      <c r="Y29" s="43"/>
    </row>
    <row r="30" spans="1:25" ht="17.25" customHeight="1">
      <c r="O30" s="43"/>
      <c r="P30" s="43"/>
      <c r="Y30" s="132"/>
    </row>
    <row r="31" spans="1:25" ht="17.25" customHeight="1">
      <c r="A31" s="56" t="s">
        <v>254</v>
      </c>
      <c r="B31" s="57"/>
      <c r="C31" s="57"/>
      <c r="D31" s="57"/>
      <c r="E31" s="58"/>
      <c r="F31" s="57"/>
      <c r="G31" s="57"/>
      <c r="H31" s="57"/>
      <c r="I31" s="58"/>
      <c r="J31" s="57"/>
      <c r="K31" s="57"/>
      <c r="L31" s="57"/>
      <c r="M31" s="58"/>
      <c r="N31" s="57"/>
      <c r="O31" s="57"/>
      <c r="P31" s="57"/>
      <c r="Q31" s="59"/>
      <c r="R31" s="59"/>
      <c r="S31" s="57"/>
      <c r="T31" s="57"/>
      <c r="U31" s="57"/>
      <c r="V31" s="57"/>
    </row>
    <row r="32" spans="1:25" ht="17.25" customHeight="1">
      <c r="A32" s="15" t="s">
        <v>50</v>
      </c>
      <c r="B32" s="43"/>
      <c r="C32" s="43"/>
      <c r="D32" s="43"/>
      <c r="E32" s="55"/>
      <c r="F32" s="43">
        <v>13.245510796750068</v>
      </c>
      <c r="G32" s="43">
        <v>16.011999716493847</v>
      </c>
      <c r="H32" s="43">
        <v>-9.2894957727639849</v>
      </c>
      <c r="I32" s="43">
        <v>-6.7424543384702247</v>
      </c>
      <c r="J32" s="43">
        <v>0.80999999999994543</v>
      </c>
      <c r="K32" s="43">
        <v>1.5300000000002001</v>
      </c>
      <c r="L32" s="43">
        <v>1.3399999999999181</v>
      </c>
      <c r="M32" s="43">
        <f>20.5799999999999</f>
        <v>20.579999999999899</v>
      </c>
      <c r="N32" s="43">
        <v>7.1467584079825883</v>
      </c>
      <c r="O32" s="43">
        <v>12.381528000570142</v>
      </c>
      <c r="P32" s="43">
        <v>12.560303822821906</v>
      </c>
      <c r="Q32" s="43">
        <v>18.559999999999945</v>
      </c>
      <c r="R32" s="43"/>
      <c r="S32" s="43"/>
      <c r="T32" s="43">
        <f>SUM(F32:I32)</f>
        <v>13.225560402009705</v>
      </c>
      <c r="U32" s="43">
        <f>SUM(J32:M32)</f>
        <v>24.259999999999962</v>
      </c>
      <c r="V32" s="155">
        <f t="shared" ref="V32:V45" si="18">SUM(N32:Q32)</f>
        <v>50.648590231374584</v>
      </c>
    </row>
    <row r="33" spans="1:27" ht="17.25" customHeight="1">
      <c r="A33" s="15" t="s">
        <v>38</v>
      </c>
      <c r="B33" s="43"/>
      <c r="C33" s="43"/>
      <c r="D33" s="43"/>
      <c r="E33" s="55"/>
      <c r="F33" s="43">
        <v>0</v>
      </c>
      <c r="G33" s="43">
        <v>0</v>
      </c>
      <c r="H33" s="43">
        <v>9.0876536914558983</v>
      </c>
      <c r="I33" s="43">
        <v>10.918476657859287</v>
      </c>
      <c r="J33" s="43">
        <v>14.019999999999982</v>
      </c>
      <c r="K33" s="43">
        <v>14.349999999999909</v>
      </c>
      <c r="L33" s="43">
        <v>16.34031424000068</v>
      </c>
      <c r="M33" s="43">
        <v>29.728980353184852</v>
      </c>
      <c r="N33" s="43">
        <v>23.688783180821702</v>
      </c>
      <c r="O33" s="43">
        <v>23.289999999999964</v>
      </c>
      <c r="P33" s="43">
        <v>115.57678803497404</v>
      </c>
      <c r="Q33" s="43">
        <v>116.0600648810771</v>
      </c>
      <c r="R33" s="43"/>
      <c r="S33" s="43"/>
      <c r="T33" s="43">
        <f>SUM(F33:I33)</f>
        <v>20.006130349315185</v>
      </c>
      <c r="U33" s="43">
        <f>SUM(J33:M33)</f>
        <v>74.439294593185423</v>
      </c>
      <c r="V33" s="155">
        <f t="shared" si="18"/>
        <v>278.61563609687278</v>
      </c>
    </row>
    <row r="34" spans="1:27" s="44" customFormat="1" ht="17.25" customHeight="1">
      <c r="A34" s="40" t="s">
        <v>179</v>
      </c>
      <c r="B34" s="41"/>
      <c r="C34" s="41"/>
      <c r="D34" s="41"/>
      <c r="E34" s="42"/>
      <c r="F34" s="41">
        <f>F32-F33</f>
        <v>13.245510796750068</v>
      </c>
      <c r="G34" s="41">
        <f t="shared" ref="G34:P34" si="19">G32-G33</f>
        <v>16.011999716493847</v>
      </c>
      <c r="H34" s="41">
        <f t="shared" si="19"/>
        <v>-18.377149464219883</v>
      </c>
      <c r="I34" s="41">
        <f t="shared" si="19"/>
        <v>-17.660930996329512</v>
      </c>
      <c r="J34" s="41">
        <f t="shared" si="19"/>
        <v>-13.210000000000036</v>
      </c>
      <c r="K34" s="41">
        <f t="shared" si="19"/>
        <v>-12.819999999999709</v>
      </c>
      <c r="L34" s="41">
        <f t="shared" si="19"/>
        <v>-15.000314240000762</v>
      </c>
      <c r="M34" s="41">
        <f t="shared" si="19"/>
        <v>-9.1489803531849532</v>
      </c>
      <c r="N34" s="41">
        <f t="shared" si="19"/>
        <v>-16.542024772839113</v>
      </c>
      <c r="O34" s="41">
        <f t="shared" si="19"/>
        <v>-10.908471999429821</v>
      </c>
      <c r="P34" s="41">
        <f t="shared" si="19"/>
        <v>-103.01648421215214</v>
      </c>
      <c r="Q34" s="41">
        <f>Q32-Q33</f>
        <v>-97.500064881077151</v>
      </c>
      <c r="R34" s="41"/>
      <c r="S34" s="41"/>
      <c r="T34" s="41">
        <f>SUM(F34:I34)</f>
        <v>-6.7805699473054801</v>
      </c>
      <c r="U34" s="41">
        <f>SUM(J34:M34)</f>
        <v>-50.17929459318546</v>
      </c>
      <c r="V34" s="41">
        <f t="shared" si="18"/>
        <v>-227.96704586549822</v>
      </c>
    </row>
    <row r="35" spans="1:27" ht="17.25" customHeight="1">
      <c r="A35" s="15" t="s">
        <v>39</v>
      </c>
      <c r="B35" s="43"/>
      <c r="C35" s="43"/>
      <c r="D35" s="43"/>
      <c r="E35" s="55"/>
      <c r="F35" s="108">
        <v>1.05</v>
      </c>
      <c r="G35" s="108">
        <v>1.05</v>
      </c>
      <c r="H35" s="108">
        <v>1.05</v>
      </c>
      <c r="I35" s="108">
        <v>8.0500000000000007</v>
      </c>
      <c r="J35" s="108">
        <v>-8.6899999999999977</v>
      </c>
      <c r="K35" s="108">
        <v>-3.6999999999999744</v>
      </c>
      <c r="L35" s="108">
        <v>2.5099999999999909</v>
      </c>
      <c r="M35" s="108">
        <v>-6.4000000000000057</v>
      </c>
      <c r="N35" s="108">
        <v>0</v>
      </c>
      <c r="O35" s="108">
        <v>0</v>
      </c>
      <c r="P35" s="108">
        <v>0</v>
      </c>
      <c r="Q35" s="43">
        <v>2.019999999999996</v>
      </c>
      <c r="R35" s="110"/>
      <c r="S35" s="109">
        <v>189.79000000000002</v>
      </c>
      <c r="T35" s="43">
        <v>108.78</v>
      </c>
      <c r="U35" s="43">
        <v>101.94999999999999</v>
      </c>
      <c r="V35" s="155">
        <f t="shared" si="18"/>
        <v>2.019999999999996</v>
      </c>
    </row>
    <row r="36" spans="1:27" ht="17.25" customHeight="1">
      <c r="A36" s="15" t="s">
        <v>40</v>
      </c>
      <c r="B36" s="43"/>
      <c r="C36" s="43"/>
      <c r="D36" s="43"/>
      <c r="E36" s="55"/>
      <c r="F36" s="108">
        <v>4.0000000000009098E-2</v>
      </c>
      <c r="G36" s="108">
        <v>0</v>
      </c>
      <c r="H36" s="108">
        <v>0</v>
      </c>
      <c r="I36" s="108">
        <v>91.71</v>
      </c>
      <c r="J36" s="108">
        <v>76.209999999999994</v>
      </c>
      <c r="K36" s="108">
        <v>13.330000000000013</v>
      </c>
      <c r="L36" s="108">
        <v>9.25</v>
      </c>
      <c r="M36" s="108">
        <v>49.1</v>
      </c>
      <c r="N36" s="108">
        <v>0.03</v>
      </c>
      <c r="O36" s="108">
        <v>32.24</v>
      </c>
      <c r="P36" s="108">
        <v>12.109348463999993</v>
      </c>
      <c r="Q36" s="43">
        <v>13.149999999999999</v>
      </c>
      <c r="R36" s="110"/>
      <c r="S36" s="109">
        <v>49.1</v>
      </c>
      <c r="T36" s="43">
        <v>0.03</v>
      </c>
      <c r="U36" s="43">
        <v>32.24</v>
      </c>
      <c r="V36" s="155">
        <f t="shared" si="18"/>
        <v>57.529348463999995</v>
      </c>
    </row>
    <row r="37" spans="1:27" ht="17.25" customHeight="1">
      <c r="A37" s="15" t="s">
        <v>184</v>
      </c>
      <c r="B37" s="43"/>
      <c r="C37" s="43"/>
      <c r="D37" s="43"/>
      <c r="E37" s="55"/>
      <c r="F37" s="108">
        <v>14.8</v>
      </c>
      <c r="G37" s="108">
        <v>9.7522426297599978</v>
      </c>
      <c r="H37" s="108">
        <v>780.35</v>
      </c>
      <c r="I37" s="108">
        <v>22.19</v>
      </c>
      <c r="J37" s="108">
        <v>42.883592168780261</v>
      </c>
      <c r="K37" s="108">
        <v>25.220993988334662</v>
      </c>
      <c r="L37" s="108">
        <v>84.328681768774857</v>
      </c>
      <c r="M37" s="108">
        <f>25.8768837581773-0.2</f>
        <v>25.676883758177301</v>
      </c>
      <c r="N37" s="108">
        <v>55.767897842345633</v>
      </c>
      <c r="O37" s="108">
        <v>116.30416855240242</v>
      </c>
      <c r="P37" s="43">
        <v>75.241022111522653</v>
      </c>
      <c r="Q37" s="43">
        <v>168.51686960552945</v>
      </c>
      <c r="R37" s="110"/>
      <c r="S37" s="109">
        <v>83.770000000000152</v>
      </c>
      <c r="T37" s="43">
        <v>57.892653774745753</v>
      </c>
      <c r="U37" s="43">
        <v>122.60169999999999</v>
      </c>
      <c r="V37" s="155">
        <f t="shared" si="18"/>
        <v>415.82995811180012</v>
      </c>
      <c r="W37" s="43"/>
    </row>
    <row r="38" spans="1:27" s="44" customFormat="1" ht="17.25" customHeight="1">
      <c r="A38" s="40" t="s">
        <v>180</v>
      </c>
      <c r="B38" s="41"/>
      <c r="C38" s="41"/>
      <c r="D38" s="41"/>
      <c r="E38" s="42"/>
      <c r="F38" s="41">
        <f t="shared" ref="F38:U38" si="20">F35+F36+F37</f>
        <v>15.890000000000009</v>
      </c>
      <c r="G38" s="41">
        <f t="shared" si="20"/>
        <v>10.802242629759998</v>
      </c>
      <c r="H38" s="41">
        <f t="shared" si="20"/>
        <v>781.4</v>
      </c>
      <c r="I38" s="41">
        <f t="shared" si="20"/>
        <v>121.94999999999999</v>
      </c>
      <c r="J38" s="41">
        <f t="shared" si="20"/>
        <v>110.40359216878025</v>
      </c>
      <c r="K38" s="41">
        <f t="shared" si="20"/>
        <v>34.8509939883347</v>
      </c>
      <c r="L38" s="41">
        <f t="shared" si="20"/>
        <v>96.088681768774848</v>
      </c>
      <c r="M38" s="41">
        <f t="shared" si="20"/>
        <v>68.3768837581773</v>
      </c>
      <c r="N38" s="41">
        <f t="shared" si="20"/>
        <v>55.797897842345634</v>
      </c>
      <c r="O38" s="41">
        <f t="shared" si="20"/>
        <v>148.54416855240243</v>
      </c>
      <c r="P38" s="41">
        <f t="shared" si="20"/>
        <v>87.350370575522646</v>
      </c>
      <c r="Q38" s="41">
        <f>Q35+Q36+Q37</f>
        <v>183.68686960552944</v>
      </c>
      <c r="R38" s="41"/>
      <c r="S38" s="42">
        <f t="shared" si="20"/>
        <v>322.6600000000002</v>
      </c>
      <c r="T38" s="41">
        <f t="shared" si="20"/>
        <v>166.70265377474576</v>
      </c>
      <c r="U38" s="41">
        <f t="shared" si="20"/>
        <v>256.79169999999999</v>
      </c>
      <c r="V38" s="41">
        <f t="shared" si="18"/>
        <v>475.37930657580011</v>
      </c>
    </row>
    <row r="39" spans="1:27" s="44" customFormat="1" ht="17.25" customHeight="1">
      <c r="A39" s="40" t="s">
        <v>181</v>
      </c>
      <c r="B39" s="41"/>
      <c r="C39" s="41"/>
      <c r="D39" s="41"/>
      <c r="E39" s="42"/>
      <c r="F39" s="41">
        <f>F34+F38</f>
        <v>29.135510796750076</v>
      </c>
      <c r="G39" s="41">
        <f t="shared" ref="G39:P39" si="21">G34+G38</f>
        <v>26.814242346253845</v>
      </c>
      <c r="H39" s="41">
        <f t="shared" si="21"/>
        <v>763.02285053578009</v>
      </c>
      <c r="I39" s="41">
        <f t="shared" si="21"/>
        <v>104.28906900367048</v>
      </c>
      <c r="J39" s="41">
        <f t="shared" si="21"/>
        <v>97.193592168780214</v>
      </c>
      <c r="K39" s="41">
        <f t="shared" si="21"/>
        <v>22.030993988334991</v>
      </c>
      <c r="L39" s="41">
        <f t="shared" si="21"/>
        <v>81.088367528774086</v>
      </c>
      <c r="M39" s="41">
        <f t="shared" si="21"/>
        <v>59.227903404992347</v>
      </c>
      <c r="N39" s="41">
        <f t="shared" si="21"/>
        <v>39.255873069506521</v>
      </c>
      <c r="O39" s="41">
        <f t="shared" si="21"/>
        <v>137.6356965529726</v>
      </c>
      <c r="P39" s="41">
        <f t="shared" si="21"/>
        <v>-15.66611363662949</v>
      </c>
      <c r="Q39" s="41">
        <f>Q34+Q38</f>
        <v>86.186804724452287</v>
      </c>
      <c r="R39" s="41"/>
      <c r="S39" s="42">
        <f t="shared" ref="S39:U39" si="22">S33+S38</f>
        <v>322.6600000000002</v>
      </c>
      <c r="T39" s="41">
        <f t="shared" si="22"/>
        <v>186.70878412406094</v>
      </c>
      <c r="U39" s="41">
        <f t="shared" si="22"/>
        <v>331.23099459318541</v>
      </c>
      <c r="V39" s="41">
        <f t="shared" si="18"/>
        <v>247.41226071030192</v>
      </c>
      <c r="X39" s="41"/>
    </row>
    <row r="40" spans="1:27" ht="17.25" customHeight="1">
      <c r="A40" s="15" t="s">
        <v>41</v>
      </c>
      <c r="B40" s="43"/>
      <c r="C40" s="43"/>
      <c r="D40" s="43"/>
      <c r="E40" s="55"/>
      <c r="F40" s="43">
        <v>38.829668789100026</v>
      </c>
      <c r="G40" s="43">
        <v>36.65176974744054</v>
      </c>
      <c r="H40" s="43">
        <v>80.678755105690811</v>
      </c>
      <c r="I40" s="43">
        <v>36.090627228768881</v>
      </c>
      <c r="J40" s="43">
        <v>24.97407319472768</v>
      </c>
      <c r="K40" s="43">
        <v>29.851051368242338</v>
      </c>
      <c r="L40" s="43">
        <v>21.808793793609993</v>
      </c>
      <c r="M40" s="43">
        <f>58.52972390438+0.2</f>
        <v>58.729723904380002</v>
      </c>
      <c r="N40" s="43">
        <v>28.191638888986859</v>
      </c>
      <c r="O40" s="43">
        <v>33.078184780982951</v>
      </c>
      <c r="P40" s="43">
        <v>40.262072388509097</v>
      </c>
      <c r="Q40" s="43">
        <v>42.771655519829778</v>
      </c>
      <c r="R40" s="43"/>
      <c r="S40" s="43"/>
      <c r="T40" s="43">
        <f t="shared" ref="T40:T45" si="23">SUM(F40:I40)</f>
        <v>192.25082087100026</v>
      </c>
      <c r="U40" s="43">
        <f t="shared" ref="U40:U45" si="24">SUM(J40:M40)</f>
        <v>135.36364226096001</v>
      </c>
      <c r="V40" s="155">
        <f t="shared" si="18"/>
        <v>144.30355157830869</v>
      </c>
    </row>
    <row r="41" spans="1:27" s="44" customFormat="1" ht="17.25" customHeight="1">
      <c r="A41" s="40" t="s">
        <v>42</v>
      </c>
      <c r="B41" s="41"/>
      <c r="C41" s="41"/>
      <c r="D41" s="41"/>
      <c r="E41" s="42"/>
      <c r="F41" s="41">
        <f>F39-F40</f>
        <v>-9.6941579923499503</v>
      </c>
      <c r="G41" s="41">
        <f t="shared" ref="G41:N41" si="25">G39-G40</f>
        <v>-9.8375274011866942</v>
      </c>
      <c r="H41" s="41">
        <f t="shared" si="25"/>
        <v>682.34409543008928</v>
      </c>
      <c r="I41" s="42">
        <f t="shared" si="25"/>
        <v>68.198441774901596</v>
      </c>
      <c r="J41" s="41">
        <f t="shared" si="25"/>
        <v>72.219518974052534</v>
      </c>
      <c r="K41" s="41">
        <f t="shared" si="25"/>
        <v>-7.8200573799073467</v>
      </c>
      <c r="L41" s="41">
        <f t="shared" si="25"/>
        <v>59.279573735164092</v>
      </c>
      <c r="M41" s="42">
        <f t="shared" si="25"/>
        <v>0.49817950061234484</v>
      </c>
      <c r="N41" s="41">
        <f t="shared" si="25"/>
        <v>11.064234180519662</v>
      </c>
      <c r="O41" s="41">
        <f>O39-O40</f>
        <v>104.55751177198965</v>
      </c>
      <c r="P41" s="41">
        <f>P39-P40</f>
        <v>-55.928186025138587</v>
      </c>
      <c r="Q41" s="41">
        <f>Q39-Q40</f>
        <v>43.415149204622509</v>
      </c>
      <c r="R41" s="41"/>
      <c r="S41" s="41"/>
      <c r="T41" s="41">
        <f t="shared" si="23"/>
        <v>731.01085181145413</v>
      </c>
      <c r="U41" s="41">
        <f t="shared" si="24"/>
        <v>124.17721482992161</v>
      </c>
      <c r="V41" s="41">
        <f t="shared" si="18"/>
        <v>103.10870913199324</v>
      </c>
    </row>
    <row r="42" spans="1:27" ht="17.25" customHeight="1">
      <c r="A42" s="15" t="s">
        <v>43</v>
      </c>
      <c r="B42" s="43"/>
      <c r="C42" s="43"/>
      <c r="D42" s="43"/>
      <c r="E42" s="55"/>
      <c r="F42" s="43">
        <v>9.6922928579992771</v>
      </c>
      <c r="G42" s="43">
        <v>-17.622326397940014</v>
      </c>
      <c r="H42" s="43">
        <v>-143.05996646005997</v>
      </c>
      <c r="I42" s="43">
        <v>-5.7555211319995578</v>
      </c>
      <c r="J42" s="43">
        <v>-3.198605099999952</v>
      </c>
      <c r="K42" s="43">
        <v>0.47280839297883404</v>
      </c>
      <c r="L42" s="43">
        <v>-21.552625635177975</v>
      </c>
      <c r="M42" s="43">
        <v>12.622628649126</v>
      </c>
      <c r="N42" s="43">
        <v>-0.33730625500010092</v>
      </c>
      <c r="O42" s="43">
        <v>-7.3886954923659687</v>
      </c>
      <c r="P42" s="43">
        <v>0.4128314165196012</v>
      </c>
      <c r="Q42" s="43">
        <v>-4.6415150097553806</v>
      </c>
      <c r="R42" s="43"/>
      <c r="S42" s="43"/>
      <c r="T42" s="43">
        <f t="shared" si="23"/>
        <v>-156.74552113200025</v>
      </c>
      <c r="U42" s="43">
        <f t="shared" si="24"/>
        <v>-11.655793693073093</v>
      </c>
      <c r="V42" s="155">
        <f t="shared" si="18"/>
        <v>-11.954685340601849</v>
      </c>
      <c r="X42" s="43"/>
    </row>
    <row r="43" spans="1:27" ht="17.25" customHeight="1">
      <c r="A43" s="15" t="s">
        <v>44</v>
      </c>
      <c r="B43" s="43"/>
      <c r="C43" s="43"/>
      <c r="D43" s="43"/>
      <c r="E43" s="55"/>
      <c r="F43" s="43">
        <v>0</v>
      </c>
      <c r="G43" s="43">
        <v>0</v>
      </c>
      <c r="H43" s="43">
        <v>-260</v>
      </c>
      <c r="I43" s="55">
        <v>375</v>
      </c>
      <c r="J43" s="43">
        <v>-855</v>
      </c>
      <c r="K43" s="43">
        <v>0</v>
      </c>
      <c r="L43" s="43">
        <v>0</v>
      </c>
      <c r="M43" s="55">
        <v>-870.69</v>
      </c>
      <c r="N43" s="43">
        <v>0</v>
      </c>
      <c r="O43" s="43">
        <v>0</v>
      </c>
      <c r="P43" s="43">
        <v>0</v>
      </c>
      <c r="Q43" s="43">
        <v>0</v>
      </c>
      <c r="R43" s="43"/>
      <c r="S43" s="43"/>
      <c r="T43" s="43">
        <f t="shared" si="23"/>
        <v>115</v>
      </c>
      <c r="U43" s="43">
        <f t="shared" si="24"/>
        <v>-1725.69</v>
      </c>
      <c r="V43" s="155">
        <f t="shared" si="18"/>
        <v>0</v>
      </c>
      <c r="W43" s="43"/>
      <c r="X43" s="43"/>
    </row>
    <row r="44" spans="1:27" ht="17.25" customHeight="1">
      <c r="A44" s="15" t="s">
        <v>45</v>
      </c>
      <c r="B44" s="43"/>
      <c r="C44" s="43"/>
      <c r="D44" s="43"/>
      <c r="E44" s="55"/>
      <c r="F44" s="43">
        <v>0</v>
      </c>
      <c r="G44" s="43">
        <v>0</v>
      </c>
      <c r="H44" s="43">
        <v>0</v>
      </c>
      <c r="I44" s="55">
        <v>0</v>
      </c>
      <c r="J44" s="43">
        <v>278</v>
      </c>
      <c r="K44" s="43">
        <v>0</v>
      </c>
      <c r="L44" s="43">
        <v>0</v>
      </c>
      <c r="M44" s="55">
        <v>0</v>
      </c>
      <c r="N44" s="43">
        <v>0</v>
      </c>
      <c r="O44" s="43">
        <v>0</v>
      </c>
      <c r="P44" s="43">
        <v>0</v>
      </c>
      <c r="Q44" s="43">
        <v>0</v>
      </c>
      <c r="R44" s="43"/>
      <c r="S44" s="43"/>
      <c r="T44" s="43">
        <f t="shared" si="23"/>
        <v>0</v>
      </c>
      <c r="U44" s="43">
        <f t="shared" si="24"/>
        <v>278</v>
      </c>
      <c r="V44" s="155">
        <f t="shared" si="18"/>
        <v>0</v>
      </c>
    </row>
    <row r="45" spans="1:27" s="44" customFormat="1" ht="17.25" customHeight="1">
      <c r="A45" s="40" t="s">
        <v>46</v>
      </c>
      <c r="B45" s="41"/>
      <c r="C45" s="41"/>
      <c r="D45" s="41"/>
      <c r="E45" s="42"/>
      <c r="F45" s="41">
        <f t="shared" ref="F45:Q45" si="26">F41-F42-F43-F44</f>
        <v>-19.386450850349227</v>
      </c>
      <c r="G45" s="41">
        <f t="shared" si="26"/>
        <v>7.7847989967533202</v>
      </c>
      <c r="H45" s="41">
        <f t="shared" si="26"/>
        <v>1085.4040618901493</v>
      </c>
      <c r="I45" s="42">
        <f t="shared" si="26"/>
        <v>-301.04603709309885</v>
      </c>
      <c r="J45" s="41">
        <f t="shared" si="26"/>
        <v>652.41812407405246</v>
      </c>
      <c r="K45" s="41">
        <f t="shared" si="26"/>
        <v>-8.2928657728861808</v>
      </c>
      <c r="L45" s="41">
        <f t="shared" si="26"/>
        <v>80.832199370342067</v>
      </c>
      <c r="M45" s="42">
        <f t="shared" si="26"/>
        <v>858.56555085148636</v>
      </c>
      <c r="N45" s="41">
        <f t="shared" si="26"/>
        <v>11.401540435519763</v>
      </c>
      <c r="O45" s="41">
        <f t="shared" si="26"/>
        <v>111.94620726435562</v>
      </c>
      <c r="P45" s="41">
        <f t="shared" si="26"/>
        <v>-56.341017441658188</v>
      </c>
      <c r="Q45" s="41">
        <f t="shared" si="26"/>
        <v>48.056664214377889</v>
      </c>
      <c r="R45" s="41"/>
      <c r="S45" s="41"/>
      <c r="T45" s="41">
        <f t="shared" si="23"/>
        <v>772.75637294345438</v>
      </c>
      <c r="U45" s="41">
        <f t="shared" si="24"/>
        <v>1583.5230085229946</v>
      </c>
      <c r="V45" s="41">
        <f t="shared" si="18"/>
        <v>115.06339447259509</v>
      </c>
    </row>
    <row r="46" spans="1:27" ht="17.25" customHeight="1">
      <c r="G46" s="43"/>
      <c r="W46" s="147"/>
    </row>
    <row r="47" spans="1:27" ht="17.25" customHeight="1">
      <c r="A47" s="56" t="s">
        <v>54</v>
      </c>
      <c r="B47" s="57"/>
      <c r="C47" s="57"/>
      <c r="D47" s="57"/>
      <c r="E47" s="58"/>
      <c r="F47" s="57"/>
      <c r="G47" s="57"/>
      <c r="H47" s="57"/>
      <c r="I47" s="58"/>
      <c r="J47" s="57"/>
      <c r="K47" s="57"/>
      <c r="L47" s="57"/>
      <c r="M47" s="58"/>
      <c r="N47" s="57"/>
      <c r="O47" s="57"/>
      <c r="P47" s="57"/>
      <c r="Q47" s="59"/>
      <c r="R47" s="59"/>
      <c r="S47" s="57"/>
      <c r="T47" s="57"/>
      <c r="U47" s="57"/>
      <c r="V47" s="57"/>
    </row>
    <row r="48" spans="1:27" ht="17.25" customHeight="1">
      <c r="A48" s="15" t="s">
        <v>50</v>
      </c>
      <c r="B48" s="43"/>
      <c r="C48" s="43"/>
      <c r="D48" s="43"/>
      <c r="E48" s="55"/>
      <c r="F48" s="43">
        <f t="shared" ref="F48:Q48" si="27">F4+F19+F32</f>
        <v>2029.9099999999999</v>
      </c>
      <c r="G48" s="43">
        <f t="shared" si="27"/>
        <v>1841.92</v>
      </c>
      <c r="H48" s="43">
        <f t="shared" si="27"/>
        <v>2006.23</v>
      </c>
      <c r="I48" s="43">
        <f t="shared" si="27"/>
        <v>1920.56</v>
      </c>
      <c r="J48" s="43">
        <f t="shared" si="27"/>
        <v>1725.06</v>
      </c>
      <c r="K48" s="43">
        <f t="shared" si="27"/>
        <v>1800.3200000000002</v>
      </c>
      <c r="L48" s="43">
        <f t="shared" si="27"/>
        <v>1952.6599999999999</v>
      </c>
      <c r="M48" s="43">
        <f t="shared" si="27"/>
        <v>1943.67</v>
      </c>
      <c r="N48" s="43">
        <f t="shared" si="27"/>
        <v>2011.3337770870305</v>
      </c>
      <c r="O48" s="43">
        <f t="shared" si="27"/>
        <v>2197.9743138868771</v>
      </c>
      <c r="P48" s="43">
        <f t="shared" si="27"/>
        <v>2317.9598858754471</v>
      </c>
      <c r="Q48" s="43">
        <f t="shared" si="27"/>
        <v>2381.3468511260926</v>
      </c>
      <c r="S48" s="43"/>
      <c r="T48" s="43">
        <f>SUM(F48:I48)</f>
        <v>7798.619999999999</v>
      </c>
      <c r="U48" s="43">
        <f t="shared" ref="U48:U52" si="28">SUM(J48:M48)</f>
        <v>7421.71</v>
      </c>
      <c r="V48" s="43">
        <f>SUM(N48:Q48)</f>
        <v>8908.614827975447</v>
      </c>
      <c r="W48" s="43"/>
      <c r="X48" s="43"/>
      <c r="Y48" s="9"/>
      <c r="Z48" s="153"/>
      <c r="AA48" s="147"/>
    </row>
    <row r="49" spans="1:27" ht="17.25" customHeight="1">
      <c r="A49" s="15" t="s">
        <v>38</v>
      </c>
      <c r="B49" s="43"/>
      <c r="C49" s="43"/>
      <c r="D49" s="43"/>
      <c r="E49" s="55"/>
      <c r="F49" s="43">
        <f t="shared" ref="F49:Q49" si="29">F5+F20+F33</f>
        <v>1051.4000000000001</v>
      </c>
      <c r="G49" s="43">
        <f t="shared" si="29"/>
        <v>1012.94</v>
      </c>
      <c r="H49" s="43">
        <f t="shared" si="29"/>
        <v>973.33000000000015</v>
      </c>
      <c r="I49" s="43">
        <f t="shared" si="29"/>
        <v>1003.5099999999999</v>
      </c>
      <c r="J49" s="43">
        <f t="shared" si="29"/>
        <v>1043.8900000000001</v>
      </c>
      <c r="K49" s="43">
        <f t="shared" si="29"/>
        <v>1050.03</v>
      </c>
      <c r="L49" s="43">
        <f t="shared" si="29"/>
        <v>1117.79</v>
      </c>
      <c r="M49" s="43">
        <f t="shared" si="29"/>
        <v>1188.73</v>
      </c>
      <c r="N49" s="43">
        <f t="shared" si="29"/>
        <v>1204.6961982552893</v>
      </c>
      <c r="O49" s="43">
        <f t="shared" si="29"/>
        <v>1317.4</v>
      </c>
      <c r="P49" s="43">
        <f t="shared" si="29"/>
        <v>1377.8999999999996</v>
      </c>
      <c r="Q49" s="43">
        <f t="shared" si="29"/>
        <v>1417.4</v>
      </c>
      <c r="S49" s="43"/>
      <c r="T49" s="43">
        <f>SUM(F49:I49)</f>
        <v>4041.18</v>
      </c>
      <c r="U49" s="43">
        <f t="shared" si="28"/>
        <v>4400.4400000000005</v>
      </c>
      <c r="V49" s="43">
        <f t="shared" ref="V49:V61" si="30">SUM(N49:Q49)</f>
        <v>5317.3961982552892</v>
      </c>
      <c r="W49" s="43"/>
      <c r="X49" s="43"/>
      <c r="Y49" s="9"/>
      <c r="Z49" s="153"/>
      <c r="AA49" s="147"/>
    </row>
    <row r="50" spans="1:27" s="44" customFormat="1" ht="17.25" customHeight="1">
      <c r="A50" s="40" t="s">
        <v>179</v>
      </c>
      <c r="B50" s="41"/>
      <c r="C50" s="41"/>
      <c r="D50" s="41"/>
      <c r="E50" s="42"/>
      <c r="F50" s="41">
        <f t="shared" ref="F50:Q50" si="31">F6+F21+F34</f>
        <v>978.50999999999976</v>
      </c>
      <c r="G50" s="41">
        <f t="shared" si="31"/>
        <v>828.9799999999999</v>
      </c>
      <c r="H50" s="41">
        <f t="shared" si="31"/>
        <v>1032.8999999999999</v>
      </c>
      <c r="I50" s="41">
        <f t="shared" si="31"/>
        <v>917.05000000000007</v>
      </c>
      <c r="J50" s="41">
        <f t="shared" si="31"/>
        <v>681.17000000000007</v>
      </c>
      <c r="K50" s="41">
        <f t="shared" si="31"/>
        <v>750.29000000000019</v>
      </c>
      <c r="L50" s="41">
        <f t="shared" si="31"/>
        <v>834.86999999999989</v>
      </c>
      <c r="M50" s="41">
        <f t="shared" si="31"/>
        <v>754.94000000000028</v>
      </c>
      <c r="N50" s="41">
        <f t="shared" si="31"/>
        <v>806.63757883174117</v>
      </c>
      <c r="O50" s="41">
        <f t="shared" si="31"/>
        <v>880.57431388687689</v>
      </c>
      <c r="P50" s="41">
        <f t="shared" si="31"/>
        <v>940.05988587544743</v>
      </c>
      <c r="Q50" s="41">
        <f t="shared" si="31"/>
        <v>963.94685112609272</v>
      </c>
      <c r="S50" s="41"/>
      <c r="T50" s="41">
        <f>SUM(F50:I50)</f>
        <v>3757.4399999999996</v>
      </c>
      <c r="U50" s="41">
        <f t="shared" si="28"/>
        <v>3021.2700000000004</v>
      </c>
      <c r="V50" s="41">
        <f t="shared" si="30"/>
        <v>3591.2186297201579</v>
      </c>
      <c r="W50" s="43"/>
      <c r="X50" s="43"/>
      <c r="Y50" s="9"/>
      <c r="Z50" s="153"/>
      <c r="AA50" s="147"/>
    </row>
    <row r="51" spans="1:27" ht="17.25" customHeight="1">
      <c r="A51" s="15" t="s">
        <v>39</v>
      </c>
      <c r="B51" s="43"/>
      <c r="C51" s="43"/>
      <c r="D51" s="43"/>
      <c r="E51" s="55"/>
      <c r="F51" s="43">
        <f t="shared" ref="F51:Q51" si="32">F7+F22+F35</f>
        <v>67.287500000000009</v>
      </c>
      <c r="G51" s="43">
        <f t="shared" si="32"/>
        <v>51.687499999999993</v>
      </c>
      <c r="H51" s="43">
        <f t="shared" si="32"/>
        <v>85.347500000000011</v>
      </c>
      <c r="I51" s="43">
        <f t="shared" si="32"/>
        <v>99.137500000000003</v>
      </c>
      <c r="J51" s="43">
        <f t="shared" si="32"/>
        <v>90.16</v>
      </c>
      <c r="K51" s="43">
        <f t="shared" si="32"/>
        <v>125.19000000000001</v>
      </c>
      <c r="L51" s="43">
        <f t="shared" si="32"/>
        <v>154.58000000000001</v>
      </c>
      <c r="M51" s="43">
        <f t="shared" si="32"/>
        <v>189.79000000000002</v>
      </c>
      <c r="N51" s="43">
        <f t="shared" si="32"/>
        <v>108.43</v>
      </c>
      <c r="O51" s="43">
        <f t="shared" si="32"/>
        <v>101.94999999999999</v>
      </c>
      <c r="P51" s="43">
        <f t="shared" si="32"/>
        <v>106.94</v>
      </c>
      <c r="Q51" s="43">
        <f t="shared" si="32"/>
        <v>122.66000000000001</v>
      </c>
      <c r="S51" s="43"/>
      <c r="T51" s="43">
        <f>SUM(F51:I51)</f>
        <v>303.45999999999998</v>
      </c>
      <c r="U51" s="43">
        <f t="shared" si="28"/>
        <v>559.72</v>
      </c>
      <c r="V51" s="43">
        <f t="shared" si="30"/>
        <v>439.98</v>
      </c>
      <c r="W51" s="43"/>
      <c r="X51" s="43"/>
      <c r="Y51" s="9"/>
      <c r="Z51" s="153"/>
      <c r="AA51" s="147"/>
    </row>
    <row r="52" spans="1:27" ht="17.25" customHeight="1">
      <c r="A52" s="15" t="s">
        <v>40</v>
      </c>
      <c r="B52" s="43"/>
      <c r="C52" s="43"/>
      <c r="D52" s="43"/>
      <c r="E52" s="55"/>
      <c r="F52" s="110">
        <f t="shared" ref="F52:P52" si="33">F36</f>
        <v>4.0000000000009098E-2</v>
      </c>
      <c r="G52" s="110">
        <f t="shared" si="33"/>
        <v>0</v>
      </c>
      <c r="H52" s="110">
        <f t="shared" si="33"/>
        <v>0</v>
      </c>
      <c r="I52" s="110">
        <f t="shared" si="33"/>
        <v>91.71</v>
      </c>
      <c r="J52" s="110">
        <f t="shared" si="33"/>
        <v>76.209999999999994</v>
      </c>
      <c r="K52" s="110">
        <f t="shared" si="33"/>
        <v>13.330000000000013</v>
      </c>
      <c r="L52" s="110">
        <f t="shared" si="33"/>
        <v>9.25</v>
      </c>
      <c r="M52" s="110">
        <f t="shared" si="33"/>
        <v>49.1</v>
      </c>
      <c r="N52" s="110">
        <f t="shared" si="33"/>
        <v>0.03</v>
      </c>
      <c r="O52" s="110">
        <f t="shared" si="33"/>
        <v>32.24</v>
      </c>
      <c r="P52" s="110">
        <f t="shared" si="33"/>
        <v>12.109348463999993</v>
      </c>
      <c r="Q52" s="110">
        <f t="shared" ref="Q52" si="34">Q36</f>
        <v>13.149999999999999</v>
      </c>
      <c r="S52" s="43"/>
      <c r="T52" s="43">
        <f>SUM(F52:I52)</f>
        <v>91.75</v>
      </c>
      <c r="U52" s="43">
        <f t="shared" si="28"/>
        <v>147.89000000000001</v>
      </c>
      <c r="V52" s="43">
        <f t="shared" si="30"/>
        <v>57.529348463999995</v>
      </c>
      <c r="W52" s="43"/>
      <c r="X52" s="43"/>
      <c r="Y52" s="9"/>
      <c r="Z52" s="153"/>
      <c r="AA52" s="147"/>
    </row>
    <row r="53" spans="1:27" ht="17.25" customHeight="1">
      <c r="A53" s="15" t="s">
        <v>184</v>
      </c>
      <c r="B53" s="43"/>
      <c r="C53" s="43"/>
      <c r="D53" s="43"/>
      <c r="E53" s="55"/>
      <c r="F53" s="110">
        <f t="shared" ref="F53:Q53" si="35">F8+F23+F37</f>
        <v>23.52</v>
      </c>
      <c r="G53" s="110">
        <f t="shared" si="35"/>
        <v>62.62</v>
      </c>
      <c r="H53" s="110">
        <f t="shared" si="35"/>
        <v>775.14852507024</v>
      </c>
      <c r="I53" s="110">
        <f t="shared" si="35"/>
        <v>31.613970570302783</v>
      </c>
      <c r="J53" s="110">
        <f t="shared" si="35"/>
        <v>43.610000000000007</v>
      </c>
      <c r="K53" s="110">
        <f t="shared" si="35"/>
        <v>25.670000000000009</v>
      </c>
      <c r="L53" s="110">
        <f t="shared" si="35"/>
        <v>87.6</v>
      </c>
      <c r="M53" s="110">
        <f t="shared" si="35"/>
        <v>83.570000000000121</v>
      </c>
      <c r="N53" s="110">
        <f t="shared" si="35"/>
        <v>57.892653774745753</v>
      </c>
      <c r="O53" s="110">
        <f t="shared" si="35"/>
        <v>122.60169999999999</v>
      </c>
      <c r="P53" s="110">
        <f t="shared" si="35"/>
        <v>85.7396174716921</v>
      </c>
      <c r="Q53" s="110">
        <f t="shared" si="35"/>
        <v>240.90375790000004</v>
      </c>
      <c r="S53" s="43"/>
      <c r="T53" s="43">
        <v>46.19</v>
      </c>
      <c r="U53" s="43">
        <v>53.986243699999996</v>
      </c>
      <c r="V53" s="43">
        <f t="shared" si="30"/>
        <v>507.13772914643789</v>
      </c>
      <c r="W53" s="43"/>
      <c r="X53" s="43"/>
      <c r="Y53" s="9"/>
      <c r="Z53" s="153"/>
      <c r="AA53" s="147"/>
    </row>
    <row r="54" spans="1:27" s="44" customFormat="1" ht="17.25" customHeight="1">
      <c r="A54" s="40" t="s">
        <v>180</v>
      </c>
      <c r="B54" s="41"/>
      <c r="C54" s="41"/>
      <c r="D54" s="41"/>
      <c r="E54" s="42"/>
      <c r="F54" s="41">
        <f t="shared" ref="F54:Q54" si="36">F9+F24+F38</f>
        <v>90.847500000000025</v>
      </c>
      <c r="G54" s="41">
        <f t="shared" si="36"/>
        <v>114.3075</v>
      </c>
      <c r="H54" s="41">
        <f t="shared" si="36"/>
        <v>860.49602507023997</v>
      </c>
      <c r="I54" s="41">
        <f t="shared" si="36"/>
        <v>222.46147057030277</v>
      </c>
      <c r="J54" s="41">
        <f t="shared" si="36"/>
        <v>209.98</v>
      </c>
      <c r="K54" s="41">
        <f t="shared" si="36"/>
        <v>164.19000000000003</v>
      </c>
      <c r="L54" s="41">
        <f t="shared" si="36"/>
        <v>251.43</v>
      </c>
      <c r="M54" s="41">
        <f t="shared" si="36"/>
        <v>322.46000000000015</v>
      </c>
      <c r="N54" s="41">
        <f t="shared" si="36"/>
        <v>166.35265377474576</v>
      </c>
      <c r="O54" s="41">
        <f t="shared" si="36"/>
        <v>256.79169999999999</v>
      </c>
      <c r="P54" s="41">
        <f t="shared" si="36"/>
        <v>204.78896593569209</v>
      </c>
      <c r="Q54" s="41">
        <f t="shared" si="36"/>
        <v>376.71375790000002</v>
      </c>
      <c r="S54" s="41"/>
      <c r="T54" s="41">
        <f t="shared" ref="T54:T61" si="37">SUM(F54:I54)</f>
        <v>1288.1124956405426</v>
      </c>
      <c r="U54" s="41">
        <f t="shared" ref="U54:U61" si="38">SUM(J54:M54)</f>
        <v>948.06000000000017</v>
      </c>
      <c r="V54" s="41">
        <f t="shared" si="30"/>
        <v>1004.6470776104379</v>
      </c>
      <c r="W54" s="43"/>
      <c r="X54" s="43"/>
      <c r="Y54" s="9"/>
      <c r="Z54" s="153"/>
      <c r="AA54" s="147"/>
    </row>
    <row r="55" spans="1:27" s="44" customFormat="1" ht="17.25" customHeight="1">
      <c r="A55" s="40" t="s">
        <v>181</v>
      </c>
      <c r="B55" s="41"/>
      <c r="C55" s="41"/>
      <c r="D55" s="41"/>
      <c r="E55" s="42"/>
      <c r="F55" s="41">
        <f t="shared" ref="F55:Q55" si="39">F10+F25+F39</f>
        <v>1069.3574999999998</v>
      </c>
      <c r="G55" s="41">
        <f t="shared" si="39"/>
        <v>943.28749999999991</v>
      </c>
      <c r="H55" s="41">
        <f t="shared" si="39"/>
        <v>1893.3960250702398</v>
      </c>
      <c r="I55" s="41">
        <f t="shared" si="39"/>
        <v>1139.5114705703027</v>
      </c>
      <c r="J55" s="41">
        <f t="shared" si="39"/>
        <v>891.15000000000009</v>
      </c>
      <c r="K55" s="41">
        <f t="shared" si="39"/>
        <v>914.48000000000025</v>
      </c>
      <c r="L55" s="41">
        <f t="shared" si="39"/>
        <v>1086.3</v>
      </c>
      <c r="M55" s="41">
        <f t="shared" si="39"/>
        <v>1077.4000000000003</v>
      </c>
      <c r="N55" s="41">
        <f t="shared" si="39"/>
        <v>972.99023260648687</v>
      </c>
      <c r="O55" s="41">
        <f t="shared" si="39"/>
        <v>1137.3660138868768</v>
      </c>
      <c r="P55" s="41">
        <f t="shared" si="39"/>
        <v>1144.8488518111396</v>
      </c>
      <c r="Q55" s="41">
        <f t="shared" si="39"/>
        <v>1340.6606090260927</v>
      </c>
      <c r="S55" s="41"/>
      <c r="T55" s="41">
        <f t="shared" si="37"/>
        <v>5045.5524956405425</v>
      </c>
      <c r="U55" s="41">
        <f t="shared" si="38"/>
        <v>3969.3300000000008</v>
      </c>
      <c r="V55" s="41">
        <f t="shared" si="30"/>
        <v>4595.8657073305967</v>
      </c>
      <c r="W55" s="43"/>
      <c r="X55" s="43"/>
      <c r="Y55" s="9"/>
      <c r="Z55" s="153"/>
      <c r="AA55" s="147"/>
    </row>
    <row r="56" spans="1:27" ht="17.25" customHeight="1">
      <c r="A56" s="15" t="s">
        <v>41</v>
      </c>
      <c r="B56" s="43"/>
      <c r="C56" s="43"/>
      <c r="D56" s="43"/>
      <c r="E56" s="55"/>
      <c r="F56" s="43">
        <f t="shared" ref="F56:Q56" si="40">F11+F26+F40</f>
        <v>441.54</v>
      </c>
      <c r="G56" s="43">
        <f t="shared" si="40"/>
        <v>541.13000000000011</v>
      </c>
      <c r="H56" s="43">
        <f t="shared" si="40"/>
        <v>558.67999999999995</v>
      </c>
      <c r="I56" s="43">
        <f t="shared" si="40"/>
        <v>673.49</v>
      </c>
      <c r="J56" s="43">
        <f t="shared" si="40"/>
        <v>628</v>
      </c>
      <c r="K56" s="43">
        <f t="shared" si="40"/>
        <v>664.11</v>
      </c>
      <c r="L56" s="43">
        <f t="shared" si="40"/>
        <v>697</v>
      </c>
      <c r="M56" s="43">
        <f t="shared" si="40"/>
        <v>784.96999999999991</v>
      </c>
      <c r="N56" s="43">
        <f t="shared" si="40"/>
        <v>703.3599999999999</v>
      </c>
      <c r="O56" s="43">
        <f t="shared" si="40"/>
        <v>740.98</v>
      </c>
      <c r="P56" s="9">
        <f t="shared" si="40"/>
        <v>786.482234140939</v>
      </c>
      <c r="Q56" s="9">
        <f t="shared" si="40"/>
        <v>783.4799999999999</v>
      </c>
      <c r="S56" s="43"/>
      <c r="T56" s="43">
        <f t="shared" si="37"/>
        <v>2214.84</v>
      </c>
      <c r="U56" s="43">
        <f t="shared" si="38"/>
        <v>2774.08</v>
      </c>
      <c r="V56" s="43">
        <f t="shared" si="30"/>
        <v>3014.3022341409392</v>
      </c>
      <c r="W56" s="43"/>
      <c r="X56" s="43"/>
      <c r="Y56" s="9"/>
      <c r="Z56" s="153"/>
      <c r="AA56" s="147"/>
    </row>
    <row r="57" spans="1:27" s="44" customFormat="1" ht="17.25" customHeight="1">
      <c r="A57" s="40" t="s">
        <v>42</v>
      </c>
      <c r="B57" s="41"/>
      <c r="C57" s="41"/>
      <c r="D57" s="41"/>
      <c r="E57" s="42"/>
      <c r="F57" s="41">
        <f t="shared" ref="F57:Q57" si="41">F12+F27+F41</f>
        <v>627.81749999999977</v>
      </c>
      <c r="G57" s="41">
        <f t="shared" si="41"/>
        <v>402.15749999999974</v>
      </c>
      <c r="H57" s="41">
        <f t="shared" si="41"/>
        <v>1334.71602507024</v>
      </c>
      <c r="I57" s="41">
        <f t="shared" si="41"/>
        <v>466.02147057030271</v>
      </c>
      <c r="J57" s="41">
        <f t="shared" si="41"/>
        <v>263.14999999999998</v>
      </c>
      <c r="K57" s="41">
        <f t="shared" si="41"/>
        <v>250.37000000000015</v>
      </c>
      <c r="L57" s="41">
        <f t="shared" si="41"/>
        <v>389.2999999999999</v>
      </c>
      <c r="M57" s="41">
        <f t="shared" si="41"/>
        <v>292.43000000000035</v>
      </c>
      <c r="N57" s="41">
        <f t="shared" si="41"/>
        <v>269.63023260648697</v>
      </c>
      <c r="O57" s="41">
        <f t="shared" si="41"/>
        <v>396.38601388687687</v>
      </c>
      <c r="P57" s="41">
        <f t="shared" si="41"/>
        <v>358.36661767020058</v>
      </c>
      <c r="Q57" s="41">
        <f t="shared" si="41"/>
        <v>557.18060902609284</v>
      </c>
      <c r="S57" s="41"/>
      <c r="T57" s="41">
        <f t="shared" si="37"/>
        <v>2830.7124956405423</v>
      </c>
      <c r="U57" s="41">
        <f t="shared" si="38"/>
        <v>1195.2500000000002</v>
      </c>
      <c r="V57" s="41">
        <f t="shared" si="30"/>
        <v>1581.5634731896571</v>
      </c>
      <c r="W57" s="43"/>
      <c r="X57" s="43"/>
      <c r="Y57" s="1"/>
      <c r="Z57" s="153"/>
      <c r="AA57" s="147"/>
    </row>
    <row r="58" spans="1:27" ht="17.25" customHeight="1">
      <c r="A58" s="15" t="s">
        <v>43</v>
      </c>
      <c r="B58" s="43"/>
      <c r="C58" s="43"/>
      <c r="D58" s="43"/>
      <c r="E58" s="55"/>
      <c r="F58" s="43">
        <f t="shared" ref="F58:Q58" si="42">F15+F28+F42</f>
        <v>90.199999999999321</v>
      </c>
      <c r="G58" s="43">
        <f t="shared" si="42"/>
        <v>3256.69</v>
      </c>
      <c r="H58" s="43">
        <f t="shared" si="42"/>
        <v>1535.35</v>
      </c>
      <c r="I58" s="43">
        <f t="shared" si="42"/>
        <v>297.82000000000016</v>
      </c>
      <c r="J58" s="43">
        <f t="shared" si="42"/>
        <v>179.22000000000008</v>
      </c>
      <c r="K58" s="43">
        <f t="shared" si="42"/>
        <v>197.77999999999992</v>
      </c>
      <c r="L58" s="43">
        <f t="shared" si="42"/>
        <v>3797.2099999999996</v>
      </c>
      <c r="M58" s="43">
        <f t="shared" si="42"/>
        <v>1836.85</v>
      </c>
      <c r="N58" s="43">
        <f t="shared" si="42"/>
        <v>29.647131710664439</v>
      </c>
      <c r="O58" s="43">
        <f t="shared" si="42"/>
        <v>240.43601388687733</v>
      </c>
      <c r="P58" s="43">
        <f t="shared" si="42"/>
        <v>272.30944593965586</v>
      </c>
      <c r="Q58" s="43">
        <f t="shared" si="42"/>
        <v>531.29060902609206</v>
      </c>
      <c r="S58" s="43"/>
      <c r="T58" s="43">
        <f t="shared" si="37"/>
        <v>5180.0599999999995</v>
      </c>
      <c r="U58" s="43">
        <f t="shared" si="38"/>
        <v>6011.0599999999995</v>
      </c>
      <c r="V58" s="43">
        <f t="shared" si="30"/>
        <v>1073.6832005632896</v>
      </c>
      <c r="W58" s="43"/>
      <c r="X58" s="43"/>
      <c r="Y58" s="9"/>
      <c r="Z58" s="153"/>
      <c r="AA58" s="147"/>
    </row>
    <row r="59" spans="1:27" ht="17.25" customHeight="1">
      <c r="A59" s="15" t="s">
        <v>44</v>
      </c>
      <c r="B59" s="43"/>
      <c r="C59" s="43"/>
      <c r="D59" s="43"/>
      <c r="E59" s="55"/>
      <c r="F59" s="43">
        <f t="shared" ref="F59:Q59" si="43">F43</f>
        <v>0</v>
      </c>
      <c r="G59" s="43">
        <f t="shared" si="43"/>
        <v>0</v>
      </c>
      <c r="H59" s="43">
        <f t="shared" si="43"/>
        <v>-260</v>
      </c>
      <c r="I59" s="43">
        <f t="shared" si="43"/>
        <v>375</v>
      </c>
      <c r="J59" s="43">
        <f t="shared" si="43"/>
        <v>-855</v>
      </c>
      <c r="K59" s="43">
        <f t="shared" si="43"/>
        <v>0</v>
      </c>
      <c r="L59" s="43">
        <f t="shared" si="43"/>
        <v>0</v>
      </c>
      <c r="M59" s="43">
        <f t="shared" si="43"/>
        <v>-870.69</v>
      </c>
      <c r="N59" s="43">
        <f t="shared" si="43"/>
        <v>0</v>
      </c>
      <c r="O59" s="43">
        <f t="shared" si="43"/>
        <v>0</v>
      </c>
      <c r="P59" s="43">
        <f t="shared" si="43"/>
        <v>0</v>
      </c>
      <c r="Q59" s="43">
        <f t="shared" si="43"/>
        <v>0</v>
      </c>
      <c r="S59" s="43"/>
      <c r="T59" s="43">
        <f t="shared" si="37"/>
        <v>115</v>
      </c>
      <c r="U59" s="43">
        <f t="shared" si="38"/>
        <v>-1725.69</v>
      </c>
      <c r="V59" s="43">
        <f t="shared" si="30"/>
        <v>0</v>
      </c>
      <c r="W59" s="43"/>
      <c r="X59" s="43"/>
      <c r="Z59" s="153"/>
      <c r="AA59" s="147"/>
    </row>
    <row r="60" spans="1:27" ht="17.25" customHeight="1">
      <c r="A60" s="15" t="s">
        <v>45</v>
      </c>
      <c r="B60" s="43"/>
      <c r="C60" s="43"/>
      <c r="D60" s="43"/>
      <c r="E60" s="55"/>
      <c r="F60" s="43">
        <f t="shared" ref="F60:Q60" si="44">F44</f>
        <v>0</v>
      </c>
      <c r="G60" s="43">
        <f t="shared" si="44"/>
        <v>0</v>
      </c>
      <c r="H60" s="43">
        <f t="shared" si="44"/>
        <v>0</v>
      </c>
      <c r="I60" s="43">
        <f t="shared" si="44"/>
        <v>0</v>
      </c>
      <c r="J60" s="43">
        <f t="shared" si="44"/>
        <v>278</v>
      </c>
      <c r="K60" s="43">
        <f t="shared" si="44"/>
        <v>0</v>
      </c>
      <c r="L60" s="43">
        <f t="shared" si="44"/>
        <v>0</v>
      </c>
      <c r="M60" s="43">
        <f t="shared" si="44"/>
        <v>0</v>
      </c>
      <c r="N60" s="43">
        <f t="shared" si="44"/>
        <v>0</v>
      </c>
      <c r="O60" s="43">
        <f t="shared" si="44"/>
        <v>0</v>
      </c>
      <c r="P60" s="43">
        <f t="shared" si="44"/>
        <v>0</v>
      </c>
      <c r="Q60" s="43">
        <f t="shared" si="44"/>
        <v>0</v>
      </c>
      <c r="S60" s="43"/>
      <c r="T60" s="43">
        <f t="shared" si="37"/>
        <v>0</v>
      </c>
      <c r="U60" s="43">
        <f t="shared" si="38"/>
        <v>278</v>
      </c>
      <c r="V60" s="43">
        <f t="shared" si="30"/>
        <v>0</v>
      </c>
      <c r="W60" s="43"/>
      <c r="X60" s="43"/>
      <c r="Z60" s="153"/>
      <c r="AA60" s="147"/>
    </row>
    <row r="61" spans="1:27" s="44" customFormat="1" ht="17.25" customHeight="1">
      <c r="A61" s="40" t="s">
        <v>46</v>
      </c>
      <c r="B61" s="41"/>
      <c r="C61" s="41"/>
      <c r="D61" s="41"/>
      <c r="E61" s="42"/>
      <c r="F61" s="41">
        <f t="shared" ref="F61:Q61" si="45">F16+F29+F45</f>
        <v>537.6175000000004</v>
      </c>
      <c r="G61" s="41">
        <f t="shared" si="45"/>
        <v>-2854.5325000000007</v>
      </c>
      <c r="H61" s="41">
        <f t="shared" si="45"/>
        <v>59.366025070240084</v>
      </c>
      <c r="I61" s="41">
        <f t="shared" si="45"/>
        <v>-206.79852942969745</v>
      </c>
      <c r="J61" s="41">
        <f t="shared" si="45"/>
        <v>660.92999999999984</v>
      </c>
      <c r="K61" s="41">
        <f t="shared" si="45"/>
        <v>52.590000000000238</v>
      </c>
      <c r="L61" s="41">
        <f t="shared" si="45"/>
        <v>-3407.91</v>
      </c>
      <c r="M61" s="41">
        <f t="shared" si="45"/>
        <v>-673.72999999999968</v>
      </c>
      <c r="N61" s="41">
        <f t="shared" si="45"/>
        <v>239.98310089582256</v>
      </c>
      <c r="O61" s="41">
        <f t="shared" si="45"/>
        <v>155.94999999999951</v>
      </c>
      <c r="P61" s="41">
        <f t="shared" si="45"/>
        <v>86.057171730544781</v>
      </c>
      <c r="Q61" s="41">
        <f t="shared" si="45"/>
        <v>25.890000000000811</v>
      </c>
      <c r="S61" s="41"/>
      <c r="T61" s="41">
        <f t="shared" si="37"/>
        <v>-2464.3475043594576</v>
      </c>
      <c r="U61" s="41">
        <f t="shared" si="38"/>
        <v>-3368.1199999999994</v>
      </c>
      <c r="V61" s="41">
        <f t="shared" si="30"/>
        <v>507.88027262636763</v>
      </c>
      <c r="W61" s="41"/>
      <c r="X61" s="43"/>
      <c r="Y61" s="41"/>
      <c r="Z61" s="153"/>
      <c r="AA61" s="147"/>
    </row>
    <row r="63" spans="1:27" ht="17.25" customHeight="1">
      <c r="A63" s="40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</row>
    <row r="64" spans="1:27" ht="17.25" customHeight="1"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</row>
    <row r="65" spans="6:22" ht="17.25" customHeight="1"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</row>
    <row r="66" spans="6:22" ht="17.25" customHeight="1"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</row>
    <row r="67" spans="6:22" ht="17.25" customHeight="1"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</row>
  </sheetData>
  <mergeCells count="5">
    <mergeCell ref="B1:E1"/>
    <mergeCell ref="F1:I1"/>
    <mergeCell ref="J1:M1"/>
    <mergeCell ref="N1:Q1"/>
    <mergeCell ref="S1:V1"/>
  </mergeCells>
  <pageMargins left="0.7" right="0.7" top="0.75" bottom="0.75" header="0.3" footer="0.3"/>
  <pageSetup orientation="portrait" r:id="rId1"/>
  <ignoredErrors>
    <ignoredError sqref="T59:U61 V4:V16 V29 T29:U58 T4:U28 V19:V28 T62:U62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AD125"/>
  <sheetViews>
    <sheetView zoomScale="90" zoomScaleNormal="90" workbookViewId="0">
      <pane xSplit="1" ySplit="2" topLeftCell="B3" activePane="bottomRight" state="frozen"/>
      <selection activeCell="Z58" sqref="Z58"/>
      <selection pane="topRight" activeCell="Z58" sqref="Z58"/>
      <selection pane="bottomLeft" activeCell="Z58" sqref="Z58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5" width="9.33203125" style="10" customWidth="1"/>
    <col min="16" max="16" width="11.109375" style="10" bestFit="1" customWidth="1"/>
    <col min="17" max="18" width="11.109375" style="10" customWidth="1"/>
    <col min="19" max="22" width="9.33203125" style="10" customWidth="1"/>
    <col min="23" max="23" width="11.21875" style="10" bestFit="1" customWidth="1"/>
    <col min="24" max="24" width="10.44140625" style="10" bestFit="1" customWidth="1"/>
    <col min="25" max="16384" width="8.6640625" style="10"/>
  </cols>
  <sheetData>
    <row r="1" spans="1:30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36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</row>
    <row r="2" spans="1:30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18"/>
      <c r="S2" s="18" t="s">
        <v>0</v>
      </c>
      <c r="T2" s="18" t="s">
        <v>1</v>
      </c>
      <c r="U2" s="18" t="s">
        <v>2</v>
      </c>
      <c r="V2" s="18" t="s">
        <v>15</v>
      </c>
    </row>
    <row r="3" spans="1:30" s="1" customFormat="1" ht="22.5" customHeight="1">
      <c r="A3" s="56" t="s">
        <v>53</v>
      </c>
      <c r="B3" s="60"/>
      <c r="C3" s="60"/>
      <c r="D3" s="60"/>
      <c r="E3" s="61"/>
      <c r="F3" s="60"/>
      <c r="G3" s="60"/>
      <c r="H3" s="60" t="s">
        <v>256</v>
      </c>
      <c r="I3" s="61"/>
      <c r="J3" s="60"/>
      <c r="K3" s="60"/>
      <c r="L3" s="60"/>
      <c r="M3" s="61"/>
      <c r="N3" s="60"/>
      <c r="O3" s="60"/>
      <c r="P3" s="62"/>
      <c r="Q3" s="62"/>
      <c r="R3" s="62"/>
      <c r="S3" s="60"/>
      <c r="T3" s="60"/>
      <c r="U3" s="60"/>
      <c r="V3" s="60"/>
    </row>
    <row r="4" spans="1:30" ht="17.25" customHeight="1">
      <c r="A4" s="63" t="s">
        <v>56</v>
      </c>
      <c r="B4" s="64"/>
      <c r="C4" s="64"/>
      <c r="D4" s="64"/>
      <c r="E4" s="65"/>
      <c r="F4" s="64"/>
      <c r="G4" s="64"/>
      <c r="H4" s="64"/>
      <c r="I4" s="65"/>
      <c r="J4" s="64"/>
      <c r="K4" s="64"/>
      <c r="L4" s="64"/>
      <c r="M4" s="65"/>
      <c r="N4" s="64"/>
      <c r="O4" s="64"/>
      <c r="P4" s="64"/>
      <c r="Q4" s="64"/>
      <c r="R4" s="64"/>
      <c r="S4" s="64"/>
      <c r="T4" s="64"/>
      <c r="U4" s="64"/>
      <c r="V4" s="64"/>
    </row>
    <row r="5" spans="1:30" ht="17.25" customHeight="1">
      <c r="A5" s="66" t="s">
        <v>57</v>
      </c>
      <c r="B5" s="67"/>
      <c r="C5" s="67"/>
      <c r="D5" s="67"/>
      <c r="E5" s="68"/>
      <c r="F5" s="67"/>
      <c r="G5" s="67"/>
      <c r="H5" s="67"/>
      <c r="I5" s="68"/>
      <c r="J5" s="67"/>
      <c r="K5" s="67"/>
      <c r="L5" s="67"/>
      <c r="M5" s="68"/>
      <c r="N5" s="67"/>
      <c r="O5" s="67"/>
      <c r="P5" s="69"/>
      <c r="Q5" s="69"/>
      <c r="R5" s="69"/>
      <c r="S5" s="67"/>
      <c r="T5" s="67"/>
      <c r="U5" s="67"/>
      <c r="V5" s="67"/>
    </row>
    <row r="6" spans="1:30" ht="17.25" customHeight="1">
      <c r="A6" s="15" t="s">
        <v>59</v>
      </c>
      <c r="B6" s="43">
        <f t="shared" ref="B6:O6" si="0">B91-B70-B27</f>
        <v>4033.4797684368168</v>
      </c>
      <c r="C6" s="43">
        <f t="shared" si="0"/>
        <v>19810.107376944601</v>
      </c>
      <c r="D6" s="43">
        <f t="shared" si="0"/>
        <v>20730.33365517635</v>
      </c>
      <c r="E6" s="43">
        <f t="shared" si="0"/>
        <v>17322.275080579031</v>
      </c>
      <c r="F6" s="43">
        <f t="shared" si="0"/>
        <v>17918.361809663496</v>
      </c>
      <c r="G6" s="43">
        <f t="shared" si="0"/>
        <v>20271.017777525005</v>
      </c>
      <c r="H6" s="43">
        <f t="shared" si="0"/>
        <v>23121.724854180331</v>
      </c>
      <c r="I6" s="43">
        <f t="shared" si="0"/>
        <v>29485.217747503295</v>
      </c>
      <c r="J6" s="43">
        <f t="shared" si="0"/>
        <v>32104.158844924859</v>
      </c>
      <c r="K6" s="43">
        <f t="shared" si="0"/>
        <v>35216.148729752102</v>
      </c>
      <c r="L6" s="43">
        <f t="shared" si="0"/>
        <v>39372.381453796093</v>
      </c>
      <c r="M6" s="43">
        <f t="shared" si="0"/>
        <v>43663.721568229768</v>
      </c>
      <c r="N6" s="43">
        <f t="shared" si="0"/>
        <v>45323.941356747768</v>
      </c>
      <c r="O6" s="43">
        <f t="shared" si="0"/>
        <v>48085.564900055942</v>
      </c>
      <c r="P6" s="88">
        <f t="shared" ref="P6" si="1">P91-P70-P27</f>
        <v>50701.599063583555</v>
      </c>
      <c r="Q6" s="88">
        <v>54946.39701998391</v>
      </c>
      <c r="R6" s="88"/>
      <c r="S6" s="43">
        <f t="shared" ref="S6:S11" si="2">E6</f>
        <v>17322.275080579031</v>
      </c>
      <c r="T6" s="43">
        <f t="shared" ref="T6:T11" si="3">I6</f>
        <v>29485.217747503295</v>
      </c>
      <c r="U6" s="43">
        <f t="shared" ref="U6:U11" si="4">M6</f>
        <v>43663.721568229768</v>
      </c>
      <c r="V6" s="43">
        <f>Q6</f>
        <v>54946.39701998391</v>
      </c>
      <c r="W6" s="88"/>
    </row>
    <row r="7" spans="1:30" ht="17.25" customHeight="1">
      <c r="A7" s="15" t="s">
        <v>60</v>
      </c>
      <c r="B7" s="43">
        <f t="shared" ref="B7:O7" si="5">B92-B71-B28</f>
        <v>214.09899845417613</v>
      </c>
      <c r="C7" s="43">
        <f t="shared" si="5"/>
        <v>2695.6279260942883</v>
      </c>
      <c r="D7" s="43">
        <f t="shared" si="5"/>
        <v>649.87091291121033</v>
      </c>
      <c r="E7" s="43">
        <f t="shared" si="5"/>
        <v>530.40000000000009</v>
      </c>
      <c r="F7" s="43">
        <f t="shared" si="5"/>
        <v>695.75958181396982</v>
      </c>
      <c r="G7" s="43">
        <f t="shared" si="5"/>
        <v>1023</v>
      </c>
      <c r="H7" s="43">
        <f t="shared" si="5"/>
        <v>1143.4477573768572</v>
      </c>
      <c r="I7" s="43">
        <f t="shared" si="5"/>
        <v>708.64987753329024</v>
      </c>
      <c r="J7" s="43">
        <f t="shared" si="5"/>
        <v>828.66805580530763</v>
      </c>
      <c r="K7" s="43">
        <f t="shared" si="5"/>
        <v>888.19528334859888</v>
      </c>
      <c r="L7" s="43">
        <f t="shared" si="5"/>
        <v>966.90826558194885</v>
      </c>
      <c r="M7" s="43">
        <f t="shared" si="5"/>
        <v>986.04840296630891</v>
      </c>
      <c r="N7" s="43">
        <f t="shared" si="5"/>
        <v>1049.6049389399527</v>
      </c>
      <c r="O7" s="43">
        <f t="shared" si="5"/>
        <v>1181.444434172171</v>
      </c>
      <c r="P7" s="88">
        <f t="shared" ref="P7" si="6">P92-P71-P28</f>
        <v>1362.7789727949498</v>
      </c>
      <c r="Q7" s="88">
        <v>1258.7786739000003</v>
      </c>
      <c r="R7" s="88"/>
      <c r="S7" s="43">
        <f t="shared" si="2"/>
        <v>530.40000000000009</v>
      </c>
      <c r="T7" s="43">
        <f t="shared" si="3"/>
        <v>708.64987753329024</v>
      </c>
      <c r="U7" s="43">
        <f t="shared" si="4"/>
        <v>986.04840296630891</v>
      </c>
      <c r="V7" s="43">
        <f t="shared" ref="V7:V11" si="7">Q7</f>
        <v>1258.7786739000003</v>
      </c>
      <c r="W7" s="88"/>
    </row>
    <row r="8" spans="1:30" ht="17.25" customHeight="1">
      <c r="A8" s="15" t="s">
        <v>61</v>
      </c>
      <c r="B8" s="43">
        <f t="shared" ref="B8:O8" si="8">B93-B72-B29</f>
        <v>79.130282807202093</v>
      </c>
      <c r="C8" s="43">
        <f t="shared" si="8"/>
        <v>71.882808895644985</v>
      </c>
      <c r="D8" s="43">
        <f t="shared" si="8"/>
        <v>163.38719997384374</v>
      </c>
      <c r="E8" s="43">
        <f t="shared" si="8"/>
        <v>234</v>
      </c>
      <c r="F8" s="43">
        <f t="shared" si="8"/>
        <v>308.47220123262423</v>
      </c>
      <c r="G8" s="43">
        <f t="shared" si="8"/>
        <v>374</v>
      </c>
      <c r="H8" s="43">
        <f t="shared" si="8"/>
        <v>494.46990316723623</v>
      </c>
      <c r="I8" s="43">
        <f t="shared" si="8"/>
        <v>525.40006379433089</v>
      </c>
      <c r="J8" s="43">
        <f t="shared" si="8"/>
        <v>617.67741418136643</v>
      </c>
      <c r="K8" s="43">
        <f t="shared" si="8"/>
        <v>661.21814059496046</v>
      </c>
      <c r="L8" s="43">
        <f t="shared" si="8"/>
        <v>681.48056306230092</v>
      </c>
      <c r="M8" s="43">
        <f t="shared" si="8"/>
        <v>630.56111417656098</v>
      </c>
      <c r="N8" s="43">
        <f t="shared" si="8"/>
        <v>756.3372064141895</v>
      </c>
      <c r="O8" s="43">
        <f t="shared" si="8"/>
        <v>877.66572253141112</v>
      </c>
      <c r="P8" s="88">
        <f t="shared" ref="P8" si="9">P93-P72-P29</f>
        <v>1010.5039376824587</v>
      </c>
      <c r="Q8" s="88">
        <v>1088.8456136</v>
      </c>
      <c r="R8" s="88"/>
      <c r="S8" s="43">
        <f t="shared" si="2"/>
        <v>234</v>
      </c>
      <c r="T8" s="43">
        <f t="shared" si="3"/>
        <v>525.40006379433089</v>
      </c>
      <c r="U8" s="43">
        <f t="shared" si="4"/>
        <v>630.56111417656098</v>
      </c>
      <c r="V8" s="43">
        <f t="shared" si="7"/>
        <v>1088.8456136</v>
      </c>
      <c r="W8" s="88"/>
    </row>
    <row r="9" spans="1:30" s="44" customFormat="1" ht="17.25" customHeight="1">
      <c r="A9" s="40" t="s">
        <v>62</v>
      </c>
      <c r="B9" s="41">
        <f>SUM(B6:B8)</f>
        <v>4326.7090496981946</v>
      </c>
      <c r="C9" s="41">
        <f t="shared" ref="C9:O9" si="10">SUM(C6:C8)</f>
        <v>22577.618111934535</v>
      </c>
      <c r="D9" s="41">
        <f t="shared" si="10"/>
        <v>21543.591768061404</v>
      </c>
      <c r="E9" s="42">
        <f t="shared" si="10"/>
        <v>18086.675080579033</v>
      </c>
      <c r="F9" s="41">
        <f t="shared" si="10"/>
        <v>18922.593592710091</v>
      </c>
      <c r="G9" s="41">
        <f t="shared" si="10"/>
        <v>21668.017777525005</v>
      </c>
      <c r="H9" s="41">
        <f t="shared" si="10"/>
        <v>24759.642514724423</v>
      </c>
      <c r="I9" s="42">
        <f t="shared" si="10"/>
        <v>30719.267688830918</v>
      </c>
      <c r="J9" s="41">
        <f t="shared" si="10"/>
        <v>33550.50431491153</v>
      </c>
      <c r="K9" s="41">
        <f t="shared" si="10"/>
        <v>36765.562153695661</v>
      </c>
      <c r="L9" s="41">
        <f t="shared" si="10"/>
        <v>41020.770282440346</v>
      </c>
      <c r="M9" s="42">
        <f t="shared" si="10"/>
        <v>45280.331085372636</v>
      </c>
      <c r="N9" s="41">
        <f t="shared" si="10"/>
        <v>47129.883502101911</v>
      </c>
      <c r="O9" s="41">
        <f t="shared" si="10"/>
        <v>50144.675056759523</v>
      </c>
      <c r="P9" s="41">
        <f>SUM(P6:P8)</f>
        <v>53074.881974060962</v>
      </c>
      <c r="Q9" s="41">
        <f>SUM(Q6:Q8)</f>
        <v>57294.021307483912</v>
      </c>
      <c r="R9" s="41"/>
      <c r="S9" s="41">
        <f t="shared" si="2"/>
        <v>18086.675080579033</v>
      </c>
      <c r="T9" s="41">
        <f t="shared" si="3"/>
        <v>30719.267688830918</v>
      </c>
      <c r="U9" s="41">
        <f t="shared" si="4"/>
        <v>45280.331085372636</v>
      </c>
      <c r="V9" s="41">
        <f t="shared" si="7"/>
        <v>57294.021307483912</v>
      </c>
      <c r="W9" s="151"/>
    </row>
    <row r="10" spans="1:30" ht="17.25" customHeight="1">
      <c r="A10" s="15" t="s">
        <v>55</v>
      </c>
      <c r="B10" s="43">
        <f t="shared" ref="B10:O10" si="11">B95-B74-B31</f>
        <v>0</v>
      </c>
      <c r="C10" s="43">
        <f t="shared" si="11"/>
        <v>0</v>
      </c>
      <c r="D10" s="43">
        <f t="shared" si="11"/>
        <v>0</v>
      </c>
      <c r="E10" s="43">
        <f t="shared" si="11"/>
        <v>3465</v>
      </c>
      <c r="F10" s="43">
        <f t="shared" si="11"/>
        <v>3343.89</v>
      </c>
      <c r="G10" s="43">
        <f t="shared" si="11"/>
        <v>3204</v>
      </c>
      <c r="H10" s="43">
        <f t="shared" si="11"/>
        <v>3136.5361919675815</v>
      </c>
      <c r="I10" s="43">
        <f t="shared" si="11"/>
        <v>1425.0272973423901</v>
      </c>
      <c r="J10" s="43">
        <f t="shared" si="11"/>
        <v>1340.3074895431048</v>
      </c>
      <c r="K10" s="43">
        <f t="shared" si="11"/>
        <v>1226.7318987881099</v>
      </c>
      <c r="L10" s="43">
        <f t="shared" si="11"/>
        <v>1132.07</v>
      </c>
      <c r="M10" s="43">
        <f t="shared" si="11"/>
        <v>1020.2564411733441</v>
      </c>
      <c r="N10" s="43">
        <f t="shared" si="11"/>
        <v>877.38142156571791</v>
      </c>
      <c r="O10" s="43">
        <f t="shared" si="11"/>
        <v>619.81562294425692</v>
      </c>
      <c r="P10" s="88">
        <f t="shared" ref="P10" si="12">P95-P74-P31</f>
        <v>466.79082318414203</v>
      </c>
      <c r="Q10" s="88">
        <v>354.45718504041491</v>
      </c>
      <c r="R10" s="88"/>
      <c r="S10" s="43">
        <f t="shared" si="2"/>
        <v>3465</v>
      </c>
      <c r="T10" s="43">
        <f t="shared" si="3"/>
        <v>1425.0272973423901</v>
      </c>
      <c r="U10" s="43">
        <f t="shared" si="4"/>
        <v>1020.2564411733441</v>
      </c>
      <c r="V10" s="43">
        <f t="shared" si="7"/>
        <v>354.45718504041491</v>
      </c>
      <c r="W10" s="88"/>
    </row>
    <row r="11" spans="1:30" s="44" customFormat="1" ht="17.25" customHeight="1">
      <c r="A11" s="40" t="s">
        <v>63</v>
      </c>
      <c r="B11" s="41">
        <f>SUM(B9:B10)</f>
        <v>4326.7090496981946</v>
      </c>
      <c r="C11" s="41">
        <f t="shared" ref="C11:O11" si="13">SUM(C9:C10)</f>
        <v>22577.618111934535</v>
      </c>
      <c r="D11" s="41">
        <f t="shared" si="13"/>
        <v>21543.591768061404</v>
      </c>
      <c r="E11" s="42">
        <f t="shared" si="13"/>
        <v>21551.675080579033</v>
      </c>
      <c r="F11" s="41">
        <f t="shared" si="13"/>
        <v>22266.48359271009</v>
      </c>
      <c r="G11" s="41">
        <f t="shared" si="13"/>
        <v>24872.017777525005</v>
      </c>
      <c r="H11" s="41">
        <f t="shared" si="13"/>
        <v>27896.178706692004</v>
      </c>
      <c r="I11" s="42">
        <f t="shared" si="13"/>
        <v>32144.294986173307</v>
      </c>
      <c r="J11" s="41">
        <f t="shared" si="13"/>
        <v>34890.811804454635</v>
      </c>
      <c r="K11" s="41">
        <f t="shared" si="13"/>
        <v>37992.294052483769</v>
      </c>
      <c r="L11" s="41">
        <f t="shared" si="13"/>
        <v>42152.840282440346</v>
      </c>
      <c r="M11" s="42">
        <f t="shared" si="13"/>
        <v>46300.587526545984</v>
      </c>
      <c r="N11" s="41">
        <f t="shared" si="13"/>
        <v>48007.26492366763</v>
      </c>
      <c r="O11" s="41">
        <f t="shared" si="13"/>
        <v>50764.490679703777</v>
      </c>
      <c r="P11" s="41">
        <f t="shared" ref="P11:Q11" si="14">SUM(P9:P10)</f>
        <v>53541.672797245104</v>
      </c>
      <c r="Q11" s="41">
        <f t="shared" si="14"/>
        <v>57648.478492524329</v>
      </c>
      <c r="R11" s="41"/>
      <c r="S11" s="41">
        <f t="shared" si="2"/>
        <v>21551.675080579033</v>
      </c>
      <c r="T11" s="41">
        <f t="shared" si="3"/>
        <v>32144.294986173307</v>
      </c>
      <c r="U11" s="41">
        <f t="shared" si="4"/>
        <v>46300.587526545984</v>
      </c>
      <c r="V11" s="41">
        <f t="shared" si="7"/>
        <v>57648.478492524329</v>
      </c>
      <c r="W11" s="151"/>
    </row>
    <row r="12" spans="1:30" ht="17.25" customHeight="1">
      <c r="B12" s="43"/>
      <c r="W12" s="88"/>
    </row>
    <row r="13" spans="1:30" ht="17.25" customHeight="1">
      <c r="A13" s="66" t="s">
        <v>58</v>
      </c>
      <c r="B13" s="67"/>
      <c r="C13" s="67"/>
      <c r="D13" s="67"/>
      <c r="E13" s="68"/>
      <c r="F13" s="67"/>
      <c r="G13" s="67"/>
      <c r="H13" s="67"/>
      <c r="I13" s="68"/>
      <c r="J13" s="67"/>
      <c r="K13" s="67"/>
      <c r="L13" s="67"/>
      <c r="M13" s="68"/>
      <c r="N13" s="67"/>
      <c r="O13" s="67"/>
      <c r="P13" s="69"/>
      <c r="Q13" s="69"/>
      <c r="R13" s="69"/>
      <c r="S13" s="67"/>
      <c r="T13" s="67"/>
      <c r="U13" s="67"/>
      <c r="V13" s="67"/>
      <c r="W13" s="88"/>
    </row>
    <row r="14" spans="1:30" ht="17.25" customHeight="1">
      <c r="A14" s="15" t="s">
        <v>59</v>
      </c>
      <c r="B14" s="43">
        <f t="shared" ref="B14:O14" si="15">B99-B78-B35</f>
        <v>67.029168669198384</v>
      </c>
      <c r="C14" s="43">
        <f t="shared" si="15"/>
        <v>71.092207935755255</v>
      </c>
      <c r="D14" s="43">
        <f t="shared" si="15"/>
        <v>121</v>
      </c>
      <c r="E14" s="43">
        <f t="shared" si="15"/>
        <v>177.1892944192987</v>
      </c>
      <c r="F14" s="43">
        <f t="shared" si="15"/>
        <v>172.15499471365356</v>
      </c>
      <c r="G14" s="43">
        <f t="shared" si="15"/>
        <v>221.34370409098563</v>
      </c>
      <c r="H14" s="43">
        <f t="shared" si="15"/>
        <v>312.09478219403161</v>
      </c>
      <c r="I14" s="43">
        <f t="shared" si="15"/>
        <v>427.76311080909909</v>
      </c>
      <c r="J14" s="43">
        <f t="shared" si="15"/>
        <v>374.57936473943857</v>
      </c>
      <c r="K14" s="43">
        <f t="shared" si="15"/>
        <v>415.40083059749531</v>
      </c>
      <c r="L14" s="43">
        <f t="shared" si="15"/>
        <v>481.39539968111831</v>
      </c>
      <c r="M14" s="43">
        <f t="shared" si="15"/>
        <v>537.93452624651468</v>
      </c>
      <c r="N14" s="43">
        <f t="shared" si="15"/>
        <v>454.76105974664267</v>
      </c>
      <c r="O14" s="43">
        <f t="shared" si="15"/>
        <v>474.98022441110174</v>
      </c>
      <c r="P14" s="43">
        <f t="shared" ref="P14" si="16">P99-P78-P35</f>
        <v>502.96152093106411</v>
      </c>
      <c r="Q14" s="43">
        <v>556.54357474868345</v>
      </c>
      <c r="R14" s="43"/>
      <c r="S14" s="43">
        <f>E14</f>
        <v>177.1892944192987</v>
      </c>
      <c r="T14" s="43">
        <f>I14</f>
        <v>427.76311080909909</v>
      </c>
      <c r="U14" s="43">
        <f>M14</f>
        <v>537.93452624651468</v>
      </c>
      <c r="V14" s="43">
        <f>Q14</f>
        <v>556.54357474868345</v>
      </c>
      <c r="W14" s="88"/>
    </row>
    <row r="15" spans="1:30" ht="17.25" customHeight="1">
      <c r="A15" s="15" t="s">
        <v>60</v>
      </c>
      <c r="B15" s="43">
        <f t="shared" ref="B15:O15" si="17">B100-B79-B36</f>
        <v>13.132628008352185</v>
      </c>
      <c r="C15" s="43">
        <f t="shared" si="17"/>
        <v>16.680985559875921</v>
      </c>
      <c r="D15" s="43">
        <f t="shared" si="17"/>
        <v>26</v>
      </c>
      <c r="E15" s="43">
        <f t="shared" si="17"/>
        <v>29.416711985509892</v>
      </c>
      <c r="F15" s="43">
        <f t="shared" si="17"/>
        <v>29.363507554664238</v>
      </c>
      <c r="G15" s="43">
        <f t="shared" si="17"/>
        <v>37.72697530963751</v>
      </c>
      <c r="H15" s="43">
        <f t="shared" si="17"/>
        <v>45.127205882069802</v>
      </c>
      <c r="I15" s="43">
        <f t="shared" si="17"/>
        <v>33.835743032879236</v>
      </c>
      <c r="J15" s="43">
        <f t="shared" si="17"/>
        <v>27.567010728095738</v>
      </c>
      <c r="K15" s="43">
        <f t="shared" si="17"/>
        <v>29.042823285349563</v>
      </c>
      <c r="L15" s="43">
        <f t="shared" si="17"/>
        <v>32.044788687691153</v>
      </c>
      <c r="M15" s="43">
        <f t="shared" si="17"/>
        <v>32.239821664579267</v>
      </c>
      <c r="N15" s="43">
        <f t="shared" si="17"/>
        <v>123.4741423110496</v>
      </c>
      <c r="O15" s="43">
        <f t="shared" si="17"/>
        <v>136.29685992737245</v>
      </c>
      <c r="P15" s="43">
        <f t="shared" ref="P15" si="18">P100-P79-P36</f>
        <v>146.04818398099997</v>
      </c>
      <c r="Q15" s="43">
        <v>149.21135862900007</v>
      </c>
      <c r="R15" s="43"/>
      <c r="S15" s="43">
        <f>E15</f>
        <v>29.416711985509892</v>
      </c>
      <c r="T15" s="43">
        <f>I15</f>
        <v>33.835743032879236</v>
      </c>
      <c r="U15" s="43">
        <f>M15</f>
        <v>32.239821664579267</v>
      </c>
      <c r="V15" s="43">
        <f t="shared" ref="V15:V17" si="19">Q15</f>
        <v>149.21135862900007</v>
      </c>
      <c r="W15" s="88"/>
    </row>
    <row r="16" spans="1:30" ht="17.25" customHeight="1">
      <c r="A16" s="15" t="s">
        <v>61</v>
      </c>
      <c r="B16" s="43">
        <f t="shared" ref="B16:O16" si="20">B101-B80-B37</f>
        <v>26.153982462185809</v>
      </c>
      <c r="C16" s="43">
        <f t="shared" si="20"/>
        <v>28.875845906156769</v>
      </c>
      <c r="D16" s="43">
        <f t="shared" si="20"/>
        <v>54</v>
      </c>
      <c r="E16" s="43">
        <f t="shared" si="20"/>
        <v>71.252330510800221</v>
      </c>
      <c r="F16" s="43">
        <f t="shared" si="20"/>
        <v>89.06501367501005</v>
      </c>
      <c r="G16" s="43">
        <f t="shared" si="20"/>
        <v>108.56027461836925</v>
      </c>
      <c r="H16" s="43">
        <f t="shared" si="20"/>
        <v>144.88153804871354</v>
      </c>
      <c r="I16" s="43">
        <f t="shared" si="20"/>
        <v>170.60352815363535</v>
      </c>
      <c r="J16" s="43">
        <f t="shared" si="20"/>
        <v>221.3549725303078</v>
      </c>
      <c r="K16" s="43">
        <f t="shared" si="20"/>
        <v>224.78877543630529</v>
      </c>
      <c r="L16" s="43">
        <f t="shared" si="20"/>
        <v>248.12808198242794</v>
      </c>
      <c r="M16" s="43">
        <f t="shared" si="20"/>
        <v>229.58827151524304</v>
      </c>
      <c r="N16" s="43">
        <f t="shared" si="20"/>
        <v>278.78041290961312</v>
      </c>
      <c r="O16" s="43">
        <f t="shared" si="20"/>
        <v>335.90481668273389</v>
      </c>
      <c r="P16" s="43">
        <f t="shared" ref="P16" si="21">P101-P80-P37</f>
        <v>407.39327765600001</v>
      </c>
      <c r="Q16" s="43">
        <v>438.20000506300005</v>
      </c>
      <c r="R16" s="43"/>
      <c r="S16" s="43">
        <f>E16</f>
        <v>71.252330510800221</v>
      </c>
      <c r="T16" s="43">
        <f>I16</f>
        <v>170.60352815363535</v>
      </c>
      <c r="U16" s="43">
        <f>M16</f>
        <v>229.58827151524304</v>
      </c>
      <c r="V16" s="43">
        <f t="shared" si="19"/>
        <v>438.20000506300005</v>
      </c>
      <c r="W16" s="88"/>
    </row>
    <row r="17" spans="1:23" s="44" customFormat="1" ht="17.25" customHeight="1">
      <c r="A17" s="40" t="s">
        <v>54</v>
      </c>
      <c r="B17" s="41">
        <f>SUM(B14:B16)</f>
        <v>106.31577913973638</v>
      </c>
      <c r="C17" s="41">
        <f t="shared" ref="C17:O17" si="22">SUM(C14:C16)</f>
        <v>116.64903940178795</v>
      </c>
      <c r="D17" s="41">
        <f t="shared" si="22"/>
        <v>201</v>
      </c>
      <c r="E17" s="42">
        <f t="shared" si="22"/>
        <v>277.85833691560879</v>
      </c>
      <c r="F17" s="41">
        <f t="shared" si="22"/>
        <v>290.58351594332782</v>
      </c>
      <c r="G17" s="41">
        <f t="shared" si="22"/>
        <v>367.63095401899238</v>
      </c>
      <c r="H17" s="41">
        <f t="shared" si="22"/>
        <v>502.10352612481495</v>
      </c>
      <c r="I17" s="42">
        <f t="shared" si="22"/>
        <v>632.20238199561368</v>
      </c>
      <c r="J17" s="41">
        <f t="shared" si="22"/>
        <v>623.50134799784212</v>
      </c>
      <c r="K17" s="41">
        <f t="shared" si="22"/>
        <v>669.23242931915024</v>
      </c>
      <c r="L17" s="41">
        <f t="shared" si="22"/>
        <v>761.5682703512374</v>
      </c>
      <c r="M17" s="42">
        <f t="shared" si="22"/>
        <v>799.76261942633698</v>
      </c>
      <c r="N17" s="41">
        <f t="shared" si="22"/>
        <v>857.0156149673054</v>
      </c>
      <c r="O17" s="41">
        <f t="shared" si="22"/>
        <v>947.18190102120809</v>
      </c>
      <c r="P17" s="41">
        <f t="shared" ref="P17:Q17" si="23">SUM(P14:P16)</f>
        <v>1056.4029825680641</v>
      </c>
      <c r="Q17" s="41">
        <f t="shared" si="23"/>
        <v>1143.9549384406837</v>
      </c>
      <c r="R17" s="41"/>
      <c r="S17" s="41">
        <f>E17</f>
        <v>277.85833691560879</v>
      </c>
      <c r="T17" s="41">
        <f>I17</f>
        <v>632.20238199561368</v>
      </c>
      <c r="U17" s="41">
        <f>M17</f>
        <v>799.76261942633698</v>
      </c>
      <c r="V17" s="41">
        <f t="shared" si="19"/>
        <v>1143.9549384406837</v>
      </c>
      <c r="W17" s="151"/>
    </row>
    <row r="18" spans="1:23" ht="17.25" customHeight="1">
      <c r="W18" s="88"/>
    </row>
    <row r="19" spans="1:23" ht="17.25" customHeight="1">
      <c r="A19" s="66" t="s">
        <v>64</v>
      </c>
      <c r="B19" s="67"/>
      <c r="C19" s="67"/>
      <c r="D19" s="67"/>
      <c r="E19" s="68"/>
      <c r="F19" s="67"/>
      <c r="G19" s="67"/>
      <c r="H19" s="67"/>
      <c r="I19" s="68"/>
      <c r="J19" s="67"/>
      <c r="K19" s="67"/>
      <c r="L19" s="67"/>
      <c r="M19" s="68"/>
      <c r="N19" s="67"/>
      <c r="O19" s="67"/>
      <c r="P19" s="69"/>
      <c r="Q19" s="69"/>
      <c r="R19" s="69"/>
      <c r="S19" s="67"/>
      <c r="T19" s="67"/>
      <c r="U19" s="67"/>
      <c r="V19" s="67"/>
      <c r="W19" s="88"/>
    </row>
    <row r="20" spans="1:23" ht="17.25" customHeight="1">
      <c r="A20" s="15" t="s">
        <v>59</v>
      </c>
      <c r="B20" s="70">
        <f>B14/B6</f>
        <v>1.6618198805339657E-2</v>
      </c>
      <c r="C20" s="70">
        <f>C14/C6</f>
        <v>3.5886836241227943E-3</v>
      </c>
      <c r="D20" s="70">
        <f>D14/D6</f>
        <v>5.8368573324813029E-3</v>
      </c>
      <c r="E20" s="71">
        <f t="shared" ref="E20:O20" si="24">E14/E6</f>
        <v>1.022898514167781E-2</v>
      </c>
      <c r="F20" s="72">
        <f t="shared" si="24"/>
        <v>9.6077418539907578E-3</v>
      </c>
      <c r="G20" s="72">
        <f t="shared" si="24"/>
        <v>1.0919220066808635E-2</v>
      </c>
      <c r="H20" s="72">
        <f t="shared" si="24"/>
        <v>1.3497902261284193E-2</v>
      </c>
      <c r="I20" s="71">
        <f t="shared" si="24"/>
        <v>1.4507714152639099E-2</v>
      </c>
      <c r="J20" s="72">
        <f t="shared" si="24"/>
        <v>1.1667627441939768E-2</v>
      </c>
      <c r="K20" s="72">
        <f t="shared" si="24"/>
        <v>1.1795748416025601E-2</v>
      </c>
      <c r="L20" s="72">
        <f t="shared" si="24"/>
        <v>1.2226728023704659E-2</v>
      </c>
      <c r="M20" s="71">
        <f t="shared" si="24"/>
        <v>1.2319942206619467E-2</v>
      </c>
      <c r="N20" s="72">
        <f t="shared" si="24"/>
        <v>1.0033572679992412E-2</v>
      </c>
      <c r="O20" s="72">
        <f t="shared" si="24"/>
        <v>9.877813131619239E-3</v>
      </c>
      <c r="P20" s="72">
        <f t="shared" ref="P20:Q20" si="25">P14/P6</f>
        <v>9.9200327054835714E-3</v>
      </c>
      <c r="Q20" s="72">
        <f t="shared" si="25"/>
        <v>1.0128845655635429E-2</v>
      </c>
      <c r="R20" s="72"/>
      <c r="S20" s="47">
        <f>E20</f>
        <v>1.022898514167781E-2</v>
      </c>
      <c r="T20" s="47">
        <f>I20</f>
        <v>1.4507714152639099E-2</v>
      </c>
      <c r="U20" s="47">
        <f>M20</f>
        <v>1.2319942206619467E-2</v>
      </c>
      <c r="V20" s="47">
        <f>Q20</f>
        <v>1.0128845655635429E-2</v>
      </c>
      <c r="W20" s="72"/>
    </row>
    <row r="21" spans="1:23" ht="17.25" customHeight="1">
      <c r="A21" s="15" t="s">
        <v>60</v>
      </c>
      <c r="B21" s="70">
        <f t="shared" ref="B21:O23" si="26">B15/B7</f>
        <v>6.1339044568968305E-2</v>
      </c>
      <c r="C21" s="70">
        <f t="shared" si="26"/>
        <v>6.188163209914917E-3</v>
      </c>
      <c r="D21" s="70">
        <f t="shared" si="26"/>
        <v>4.0007945398769208E-2</v>
      </c>
      <c r="E21" s="71">
        <f t="shared" si="26"/>
        <v>5.5461372521700393E-2</v>
      </c>
      <c r="F21" s="72">
        <f t="shared" si="26"/>
        <v>4.2203525933639775E-2</v>
      </c>
      <c r="G21" s="72">
        <f t="shared" si="26"/>
        <v>3.6878763743536179E-2</v>
      </c>
      <c r="H21" s="72">
        <f t="shared" si="26"/>
        <v>3.9465909649947208E-2</v>
      </c>
      <c r="I21" s="71">
        <f t="shared" si="26"/>
        <v>4.7746770451237021E-2</v>
      </c>
      <c r="J21" s="72">
        <f t="shared" si="26"/>
        <v>3.3266650663040041E-2</v>
      </c>
      <c r="K21" s="72">
        <f t="shared" si="26"/>
        <v>3.2698691188557949E-2</v>
      </c>
      <c r="L21" s="72">
        <f t="shared" si="26"/>
        <v>3.3141498349281866E-2</v>
      </c>
      <c r="M21" s="71">
        <f t="shared" si="26"/>
        <v>3.2695982841808663E-2</v>
      </c>
      <c r="N21" s="72">
        <f t="shared" si="26"/>
        <v>0.11763868264163484</v>
      </c>
      <c r="O21" s="72">
        <f t="shared" si="26"/>
        <v>0.11536459606995789</v>
      </c>
      <c r="P21" s="72">
        <f t="shared" ref="P21:Q21" si="27">P15/P7</f>
        <v>0.10716938468860208</v>
      </c>
      <c r="Q21" s="72">
        <f t="shared" si="27"/>
        <v>0.11853661149716435</v>
      </c>
      <c r="R21" s="72"/>
      <c r="S21" s="47">
        <f>E21</f>
        <v>5.5461372521700393E-2</v>
      </c>
      <c r="T21" s="47">
        <f>I21</f>
        <v>4.7746770451237021E-2</v>
      </c>
      <c r="U21" s="47">
        <f>M21</f>
        <v>3.2695982841808663E-2</v>
      </c>
      <c r="V21" s="47">
        <f t="shared" ref="V21:V23" si="28">Q21</f>
        <v>0.11853661149716435</v>
      </c>
      <c r="W21" s="72"/>
    </row>
    <row r="22" spans="1:23" ht="17.25" customHeight="1">
      <c r="A22" s="15" t="s">
        <v>61</v>
      </c>
      <c r="B22" s="70">
        <f t="shared" si="26"/>
        <v>0.33051799556825784</v>
      </c>
      <c r="C22" s="70">
        <f t="shared" si="26"/>
        <v>0.40170725587639372</v>
      </c>
      <c r="D22" s="70">
        <f t="shared" si="26"/>
        <v>0.33050324632923955</v>
      </c>
      <c r="E22" s="71">
        <f t="shared" si="26"/>
        <v>0.30449713893504365</v>
      </c>
      <c r="F22" s="72">
        <f t="shared" si="26"/>
        <v>0.28872946514828601</v>
      </c>
      <c r="G22" s="72">
        <f t="shared" si="26"/>
        <v>0.29026811395285895</v>
      </c>
      <c r="H22" s="72">
        <f t="shared" si="26"/>
        <v>0.29300375436543546</v>
      </c>
      <c r="I22" s="71">
        <f t="shared" si="26"/>
        <v>0.32471166242647909</v>
      </c>
      <c r="J22" s="72">
        <f t="shared" si="26"/>
        <v>0.3583666286773311</v>
      </c>
      <c r="K22" s="72">
        <f t="shared" si="26"/>
        <v>0.33996159759628131</v>
      </c>
      <c r="L22" s="72">
        <f t="shared" si="26"/>
        <v>0.36410148055791886</v>
      </c>
      <c r="M22" s="71">
        <f t="shared" si="26"/>
        <v>0.36410153806432932</v>
      </c>
      <c r="N22" s="72">
        <f t="shared" si="26"/>
        <v>0.36859275273699266</v>
      </c>
      <c r="O22" s="72">
        <f t="shared" si="26"/>
        <v>0.38272523132599845</v>
      </c>
      <c r="P22" s="72">
        <f t="shared" ref="P22:Q22" si="29">P16/P8</f>
        <v>0.40315852562666554</v>
      </c>
      <c r="Q22" s="72">
        <f t="shared" si="29"/>
        <v>0.40244457027677194</v>
      </c>
      <c r="R22" s="72"/>
      <c r="S22" s="47">
        <f>E22</f>
        <v>0.30449713893504365</v>
      </c>
      <c r="T22" s="47">
        <f>I22</f>
        <v>0.32471166242647909</v>
      </c>
      <c r="U22" s="47">
        <f>M22</f>
        <v>0.36410153806432932</v>
      </c>
      <c r="V22" s="47">
        <f t="shared" si="28"/>
        <v>0.40244457027677194</v>
      </c>
      <c r="W22" s="72"/>
    </row>
    <row r="23" spans="1:23" s="44" customFormat="1" ht="17.25" customHeight="1">
      <c r="A23" s="40" t="s">
        <v>65</v>
      </c>
      <c r="B23" s="73">
        <f t="shared" si="26"/>
        <v>2.4571973275427969E-2</v>
      </c>
      <c r="C23" s="73">
        <f t="shared" si="26"/>
        <v>5.1665786365713761E-3</v>
      </c>
      <c r="D23" s="73">
        <f t="shared" si="26"/>
        <v>9.3299205705329302E-3</v>
      </c>
      <c r="E23" s="74">
        <f t="shared" si="26"/>
        <v>1.5362599022634366E-2</v>
      </c>
      <c r="F23" s="75">
        <f t="shared" si="26"/>
        <v>1.5356431692073904E-2</v>
      </c>
      <c r="G23" s="75">
        <f t="shared" si="26"/>
        <v>1.6966524478317299E-2</v>
      </c>
      <c r="H23" s="75">
        <f t="shared" si="26"/>
        <v>2.0279110484984455E-2</v>
      </c>
      <c r="I23" s="74">
        <f t="shared" si="26"/>
        <v>2.0579995213410422E-2</v>
      </c>
      <c r="J23" s="75">
        <f t="shared" si="26"/>
        <v>1.8583963512009766E-2</v>
      </c>
      <c r="K23" s="75">
        <f t="shared" si="26"/>
        <v>1.8202698126074463E-2</v>
      </c>
      <c r="L23" s="75">
        <f t="shared" si="26"/>
        <v>1.8565430758798792E-2</v>
      </c>
      <c r="M23" s="74">
        <f t="shared" si="26"/>
        <v>1.7662472871906459E-2</v>
      </c>
      <c r="N23" s="75">
        <f t="shared" si="26"/>
        <v>1.8184123347749926E-2</v>
      </c>
      <c r="O23" s="75">
        <f t="shared" si="26"/>
        <v>1.8888982727459664E-2</v>
      </c>
      <c r="P23" s="75">
        <f t="shared" ref="P23:Q23" si="30">P17/P9</f>
        <v>1.9904010018983273E-2</v>
      </c>
      <c r="Q23" s="75">
        <f t="shared" si="30"/>
        <v>1.9966392868486907E-2</v>
      </c>
      <c r="R23" s="75"/>
      <c r="S23" s="49">
        <f>E23</f>
        <v>1.5362599022634366E-2</v>
      </c>
      <c r="T23" s="49">
        <f>I23</f>
        <v>2.0579995213410422E-2</v>
      </c>
      <c r="U23" s="49">
        <f>M23</f>
        <v>1.7662472871906459E-2</v>
      </c>
      <c r="V23" s="49">
        <f t="shared" si="28"/>
        <v>1.9966392868486907E-2</v>
      </c>
      <c r="W23" s="75"/>
    </row>
    <row r="24" spans="1:23" ht="17.2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1:23" ht="17.25" customHeight="1">
      <c r="A25" s="63" t="s">
        <v>120</v>
      </c>
      <c r="B25" s="64"/>
      <c r="C25" s="64"/>
      <c r="D25" s="64"/>
      <c r="E25" s="65"/>
      <c r="F25" s="64"/>
      <c r="G25" s="64"/>
      <c r="H25" s="64"/>
      <c r="I25" s="65"/>
      <c r="J25" s="64"/>
      <c r="K25" s="64"/>
      <c r="L25" s="64"/>
      <c r="M25" s="65"/>
      <c r="N25" s="64"/>
      <c r="O25" s="64"/>
      <c r="P25" s="64"/>
      <c r="Q25" s="64"/>
      <c r="R25" s="64"/>
      <c r="S25" s="64"/>
      <c r="T25" s="64"/>
      <c r="U25" s="64"/>
      <c r="V25" s="64"/>
    </row>
    <row r="26" spans="1:23" ht="17.25" customHeight="1">
      <c r="A26" s="66" t="s">
        <v>57</v>
      </c>
      <c r="B26" s="67"/>
      <c r="C26" s="67"/>
      <c r="D26" s="67"/>
      <c r="E26" s="68"/>
      <c r="F26" s="67"/>
      <c r="G26" s="67"/>
      <c r="H26" s="67"/>
      <c r="I26" s="68"/>
      <c r="J26" s="67"/>
      <c r="K26" s="67"/>
      <c r="L26" s="67"/>
      <c r="M26" s="68"/>
      <c r="N26" s="67"/>
      <c r="O26" s="67"/>
      <c r="P26" s="69"/>
      <c r="Q26" s="69"/>
      <c r="R26" s="69"/>
      <c r="S26" s="67"/>
      <c r="T26" s="67"/>
      <c r="U26" s="67"/>
      <c r="V26" s="67"/>
      <c r="W26" s="44"/>
    </row>
    <row r="27" spans="1:23" ht="17.25" customHeight="1">
      <c r="A27" s="15" t="s">
        <v>59</v>
      </c>
      <c r="B27" s="43">
        <v>0</v>
      </c>
      <c r="C27" s="43">
        <v>50.004934274154508</v>
      </c>
      <c r="D27" s="43">
        <v>199</v>
      </c>
      <c r="E27" s="55">
        <v>458.12491942097017</v>
      </c>
      <c r="F27" s="43">
        <v>669</v>
      </c>
      <c r="G27" s="43">
        <v>829</v>
      </c>
      <c r="H27" s="43">
        <v>1870.2579573408264</v>
      </c>
      <c r="I27" s="55">
        <v>2791.6309833213622</v>
      </c>
      <c r="J27" s="43">
        <v>3045.2104831889069</v>
      </c>
      <c r="K27" s="43">
        <v>4379.2578551458482</v>
      </c>
      <c r="L27" s="43">
        <v>5561.8122554660895</v>
      </c>
      <c r="M27" s="55">
        <v>6346.582334692348</v>
      </c>
      <c r="N27" s="43">
        <v>7070.7325272272255</v>
      </c>
      <c r="O27" s="43">
        <v>7889.0847862190267</v>
      </c>
      <c r="P27" s="88">
        <v>8915.7578936513401</v>
      </c>
      <c r="Q27" s="88">
        <v>9116.8410246341246</v>
      </c>
      <c r="R27" s="88"/>
      <c r="S27" s="43">
        <f t="shared" ref="S27:S32" si="31">E27</f>
        <v>458.12491942097017</v>
      </c>
      <c r="T27" s="43">
        <f t="shared" ref="T27:T32" si="32">I27</f>
        <v>2791.6309833213622</v>
      </c>
      <c r="U27" s="43">
        <f t="shared" ref="U27:U32" si="33">M27</f>
        <v>6346.582334692348</v>
      </c>
      <c r="V27" s="43">
        <f>Q27</f>
        <v>9116.8410246341246</v>
      </c>
      <c r="W27" s="88"/>
    </row>
    <row r="28" spans="1:23" ht="17.25" customHeight="1">
      <c r="A28" s="15" t="s">
        <v>60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122.017243106422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88">
        <v>0</v>
      </c>
      <c r="R28" s="43"/>
      <c r="S28" s="43">
        <f t="shared" si="31"/>
        <v>0</v>
      </c>
      <c r="T28" s="43">
        <f t="shared" si="32"/>
        <v>0</v>
      </c>
      <c r="U28" s="43">
        <f t="shared" si="33"/>
        <v>0</v>
      </c>
      <c r="V28" s="43">
        <f t="shared" ref="V28:V32" si="34">Q28</f>
        <v>0</v>
      </c>
    </row>
    <row r="29" spans="1:23" ht="17.25" customHeight="1">
      <c r="A29" s="15" t="s">
        <v>61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88">
        <v>0</v>
      </c>
      <c r="R29" s="43"/>
      <c r="S29" s="43">
        <f t="shared" si="31"/>
        <v>0</v>
      </c>
      <c r="T29" s="43">
        <f t="shared" si="32"/>
        <v>0</v>
      </c>
      <c r="U29" s="43">
        <f t="shared" si="33"/>
        <v>0</v>
      </c>
      <c r="V29" s="43">
        <f t="shared" si="34"/>
        <v>0</v>
      </c>
    </row>
    <row r="30" spans="1:23" s="44" customFormat="1" ht="17.25" customHeight="1">
      <c r="A30" s="40" t="s">
        <v>62</v>
      </c>
      <c r="B30" s="41">
        <f t="shared" ref="B30:O30" si="35">SUM(B27:B29)</f>
        <v>0</v>
      </c>
      <c r="C30" s="41">
        <f t="shared" si="35"/>
        <v>50.004934274154508</v>
      </c>
      <c r="D30" s="41">
        <f t="shared" si="35"/>
        <v>199</v>
      </c>
      <c r="E30" s="42">
        <f t="shared" si="35"/>
        <v>458.12491942097017</v>
      </c>
      <c r="F30" s="41">
        <f t="shared" si="35"/>
        <v>669</v>
      </c>
      <c r="G30" s="41">
        <f t="shared" si="35"/>
        <v>829</v>
      </c>
      <c r="H30" s="41">
        <f t="shared" si="35"/>
        <v>1870.2579573408264</v>
      </c>
      <c r="I30" s="42">
        <f t="shared" si="35"/>
        <v>2791.6309833213622</v>
      </c>
      <c r="J30" s="41">
        <f t="shared" si="35"/>
        <v>3045.2104831889069</v>
      </c>
      <c r="K30" s="41">
        <f t="shared" si="35"/>
        <v>4501.2750982522703</v>
      </c>
      <c r="L30" s="41">
        <f t="shared" si="35"/>
        <v>5561.8122554660895</v>
      </c>
      <c r="M30" s="42">
        <f t="shared" si="35"/>
        <v>6346.582334692348</v>
      </c>
      <c r="N30" s="41">
        <f t="shared" si="35"/>
        <v>7070.7325272272255</v>
      </c>
      <c r="O30" s="41">
        <f t="shared" si="35"/>
        <v>7889.0847862190267</v>
      </c>
      <c r="P30" s="41">
        <f t="shared" ref="P30:Q30" si="36">SUM(P27:P29)</f>
        <v>8915.7578936513401</v>
      </c>
      <c r="Q30" s="41">
        <f t="shared" si="36"/>
        <v>9116.8410246341246</v>
      </c>
      <c r="R30" s="41"/>
      <c r="S30" s="41">
        <f t="shared" si="31"/>
        <v>458.12491942097017</v>
      </c>
      <c r="T30" s="41">
        <f t="shared" si="32"/>
        <v>2791.6309833213622</v>
      </c>
      <c r="U30" s="41">
        <f t="shared" si="33"/>
        <v>6346.582334692348</v>
      </c>
      <c r="V30" s="41">
        <f t="shared" si="34"/>
        <v>9116.8410246341246</v>
      </c>
    </row>
    <row r="31" spans="1:23" ht="17.25" customHeight="1">
      <c r="A31" s="15" t="s">
        <v>55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88">
        <v>0</v>
      </c>
      <c r="R31" s="43"/>
      <c r="S31" s="43">
        <f t="shared" si="31"/>
        <v>0</v>
      </c>
      <c r="T31" s="43">
        <f t="shared" si="32"/>
        <v>0</v>
      </c>
      <c r="U31" s="43">
        <f t="shared" si="33"/>
        <v>0</v>
      </c>
      <c r="V31" s="43">
        <f t="shared" si="34"/>
        <v>0</v>
      </c>
    </row>
    <row r="32" spans="1:23" s="44" customFormat="1" ht="17.25" customHeight="1">
      <c r="A32" s="40" t="s">
        <v>63</v>
      </c>
      <c r="B32" s="41"/>
      <c r="C32" s="41">
        <f t="shared" ref="C32:O32" si="37">SUM(C30:C31)</f>
        <v>50.004934274154508</v>
      </c>
      <c r="D32" s="41">
        <f t="shared" si="37"/>
        <v>199</v>
      </c>
      <c r="E32" s="42">
        <f t="shared" si="37"/>
        <v>458.12491942097017</v>
      </c>
      <c r="F32" s="41">
        <f t="shared" si="37"/>
        <v>669</v>
      </c>
      <c r="G32" s="41">
        <f t="shared" si="37"/>
        <v>829</v>
      </c>
      <c r="H32" s="41">
        <f t="shared" si="37"/>
        <v>1870.2579573408264</v>
      </c>
      <c r="I32" s="42">
        <f t="shared" si="37"/>
        <v>2791.6309833213622</v>
      </c>
      <c r="J32" s="41">
        <f t="shared" si="37"/>
        <v>3045.2104831889069</v>
      </c>
      <c r="K32" s="41">
        <f t="shared" si="37"/>
        <v>4501.2750982522703</v>
      </c>
      <c r="L32" s="41">
        <f t="shared" si="37"/>
        <v>5561.8122554660895</v>
      </c>
      <c r="M32" s="42">
        <f t="shared" si="37"/>
        <v>6346.582334692348</v>
      </c>
      <c r="N32" s="41">
        <f t="shared" si="37"/>
        <v>7070.7325272272255</v>
      </c>
      <c r="O32" s="41">
        <f t="shared" si="37"/>
        <v>7889.0847862190267</v>
      </c>
      <c r="P32" s="41">
        <f t="shared" ref="P32:Q32" si="38">SUM(P30:P31)</f>
        <v>8915.7578936513401</v>
      </c>
      <c r="Q32" s="41">
        <f t="shared" si="38"/>
        <v>9116.8410246341246</v>
      </c>
      <c r="R32" s="41"/>
      <c r="S32" s="41">
        <f t="shared" si="31"/>
        <v>458.12491942097017</v>
      </c>
      <c r="T32" s="41">
        <f t="shared" si="32"/>
        <v>2791.6309833213622</v>
      </c>
      <c r="U32" s="41">
        <f t="shared" si="33"/>
        <v>6346.582334692348</v>
      </c>
      <c r="V32" s="41">
        <f t="shared" si="34"/>
        <v>9116.8410246341246</v>
      </c>
    </row>
    <row r="34" spans="1:30" ht="17.25" customHeight="1">
      <c r="A34" s="66" t="s">
        <v>58</v>
      </c>
      <c r="B34" s="67"/>
      <c r="C34" s="67"/>
      <c r="D34" s="67"/>
      <c r="E34" s="68"/>
      <c r="F34" s="67"/>
      <c r="G34" s="67"/>
      <c r="H34" s="67"/>
      <c r="I34" s="68"/>
      <c r="J34" s="67"/>
      <c r="K34" s="67"/>
      <c r="L34" s="67"/>
      <c r="M34" s="68"/>
      <c r="N34" s="67"/>
      <c r="O34" s="67"/>
      <c r="P34" s="69"/>
      <c r="Q34" s="69"/>
      <c r="R34" s="69"/>
      <c r="S34" s="67"/>
      <c r="T34" s="67"/>
      <c r="U34" s="67"/>
      <c r="V34" s="67"/>
    </row>
    <row r="35" spans="1:30" ht="17.25" customHeight="1">
      <c r="A35" s="15" t="s">
        <v>59</v>
      </c>
      <c r="B35" s="43">
        <v>0</v>
      </c>
      <c r="C35" s="55">
        <v>0.5</v>
      </c>
      <c r="D35" s="55">
        <v>2</v>
      </c>
      <c r="E35" s="55">
        <v>4.5999999999999996</v>
      </c>
      <c r="F35" s="55">
        <v>11.6</v>
      </c>
      <c r="G35" s="55">
        <f>F35+2.9</f>
        <v>14.5</v>
      </c>
      <c r="H35" s="43">
        <v>89.96667088364859</v>
      </c>
      <c r="I35" s="55">
        <v>125.03999999999999</v>
      </c>
      <c r="J35" s="43">
        <v>149.84</v>
      </c>
      <c r="K35" s="43">
        <v>171.90930468469276</v>
      </c>
      <c r="L35" s="43">
        <v>141.16</v>
      </c>
      <c r="M35" s="55">
        <v>112.44999999999999</v>
      </c>
      <c r="N35" s="43">
        <v>128.12</v>
      </c>
      <c r="O35" s="43">
        <v>146.584920392085</v>
      </c>
      <c r="P35" s="43">
        <v>168</v>
      </c>
      <c r="Q35" s="43">
        <v>169.72989770041295</v>
      </c>
      <c r="R35" s="43"/>
      <c r="S35" s="43">
        <f>E35</f>
        <v>4.5999999999999996</v>
      </c>
      <c r="T35" s="43">
        <f>I35</f>
        <v>125.03999999999999</v>
      </c>
      <c r="U35" s="43">
        <f>M35</f>
        <v>112.44999999999999</v>
      </c>
      <c r="V35" s="43">
        <f>Q35</f>
        <v>169.72989770041295</v>
      </c>
      <c r="W35" s="88"/>
    </row>
    <row r="36" spans="1:30" ht="17.25" customHeight="1">
      <c r="A36" s="15" t="s">
        <v>60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27.560695315307235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/>
      <c r="S36" s="43">
        <f>E36</f>
        <v>0</v>
      </c>
      <c r="T36" s="43">
        <f>I36</f>
        <v>0</v>
      </c>
      <c r="U36" s="43">
        <f>M36</f>
        <v>0</v>
      </c>
      <c r="V36" s="43">
        <f t="shared" ref="V36:V37" si="39">Q36</f>
        <v>0</v>
      </c>
    </row>
    <row r="37" spans="1:30" ht="17.25" customHeight="1">
      <c r="A37" s="15" t="s">
        <v>61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/>
      <c r="S37" s="43">
        <f>E37</f>
        <v>0</v>
      </c>
      <c r="T37" s="43">
        <f>I37</f>
        <v>0</v>
      </c>
      <c r="U37" s="43">
        <f>M37</f>
        <v>0</v>
      </c>
      <c r="V37" s="43">
        <f t="shared" si="39"/>
        <v>0</v>
      </c>
    </row>
    <row r="38" spans="1:30" s="44" customFormat="1" ht="17.25" customHeight="1">
      <c r="A38" s="40" t="s">
        <v>54</v>
      </c>
      <c r="B38" s="41">
        <f t="shared" ref="B38" si="40">SUM(B35:B37)</f>
        <v>0</v>
      </c>
      <c r="C38" s="41">
        <f t="shared" ref="C38:O38" si="41">SUM(C35:C37)</f>
        <v>0.5</v>
      </c>
      <c r="D38" s="41">
        <f t="shared" si="41"/>
        <v>2</v>
      </c>
      <c r="E38" s="42">
        <f t="shared" si="41"/>
        <v>4.5999999999999996</v>
      </c>
      <c r="F38" s="41">
        <f t="shared" si="41"/>
        <v>11.6</v>
      </c>
      <c r="G38" s="41">
        <f t="shared" si="41"/>
        <v>14.5</v>
      </c>
      <c r="H38" s="41">
        <f t="shared" si="41"/>
        <v>89.96667088364859</v>
      </c>
      <c r="I38" s="42">
        <f t="shared" si="41"/>
        <v>125.03999999999999</v>
      </c>
      <c r="J38" s="41">
        <f t="shared" si="41"/>
        <v>149.84</v>
      </c>
      <c r="K38" s="41">
        <f t="shared" si="41"/>
        <v>199.47</v>
      </c>
      <c r="L38" s="41">
        <f t="shared" si="41"/>
        <v>141.16</v>
      </c>
      <c r="M38" s="42">
        <f t="shared" si="41"/>
        <v>112.44999999999999</v>
      </c>
      <c r="N38" s="41">
        <f t="shared" si="41"/>
        <v>128.12</v>
      </c>
      <c r="O38" s="41">
        <f t="shared" si="41"/>
        <v>146.584920392085</v>
      </c>
      <c r="P38" s="41">
        <f t="shared" ref="P38:Q38" si="42">SUM(P35:P37)</f>
        <v>168</v>
      </c>
      <c r="Q38" s="41">
        <f t="shared" si="42"/>
        <v>169.72989770041295</v>
      </c>
      <c r="R38" s="41"/>
      <c r="S38" s="41">
        <f>E38</f>
        <v>4.5999999999999996</v>
      </c>
      <c r="T38" s="41">
        <f>I38</f>
        <v>125.03999999999999</v>
      </c>
      <c r="U38" s="41">
        <f>M38</f>
        <v>112.44999999999999</v>
      </c>
      <c r="V38" s="41">
        <f>Q38</f>
        <v>169.72989770041295</v>
      </c>
    </row>
    <row r="40" spans="1:30" ht="17.25" customHeight="1">
      <c r="A40" s="66" t="s">
        <v>64</v>
      </c>
      <c r="B40" s="67"/>
      <c r="C40" s="67"/>
      <c r="D40" s="67"/>
      <c r="E40" s="68"/>
      <c r="F40" s="67"/>
      <c r="G40" s="67"/>
      <c r="H40" s="67"/>
      <c r="I40" s="68"/>
      <c r="J40" s="67"/>
      <c r="K40" s="67"/>
      <c r="L40" s="67"/>
      <c r="M40" s="68"/>
      <c r="N40" s="67"/>
      <c r="O40" s="67"/>
      <c r="P40" s="69"/>
      <c r="Q40" s="69"/>
      <c r="R40" s="69"/>
      <c r="S40" s="67"/>
      <c r="T40" s="67"/>
      <c r="U40" s="67"/>
      <c r="V40" s="67"/>
    </row>
    <row r="41" spans="1:30" ht="17.25" customHeight="1">
      <c r="A41" s="15" t="s">
        <v>59</v>
      </c>
      <c r="B41" s="70"/>
      <c r="C41" s="70">
        <f>C35/C27</f>
        <v>9.9990132425477347E-3</v>
      </c>
      <c r="D41" s="70">
        <f>D35/D27</f>
        <v>1.0050251256281407E-2</v>
      </c>
      <c r="E41" s="71">
        <f t="shared" ref="E41:O41" si="43">E35/E27</f>
        <v>1.0040929460492997E-2</v>
      </c>
      <c r="F41" s="72">
        <f t="shared" si="43"/>
        <v>1.733931240657698E-2</v>
      </c>
      <c r="G41" s="72">
        <f t="shared" si="43"/>
        <v>1.7490952955367914E-2</v>
      </c>
      <c r="H41" s="72">
        <f t="shared" si="43"/>
        <v>4.8103883493999494E-2</v>
      </c>
      <c r="I41" s="71">
        <f t="shared" si="43"/>
        <v>4.4791020284218504E-2</v>
      </c>
      <c r="J41" s="72">
        <f t="shared" si="43"/>
        <v>4.9205137322097157E-2</v>
      </c>
      <c r="K41" s="72">
        <f t="shared" si="43"/>
        <v>3.9255351105368388E-2</v>
      </c>
      <c r="L41" s="72">
        <f t="shared" si="43"/>
        <v>2.5380216648138287E-2</v>
      </c>
      <c r="M41" s="71">
        <f t="shared" si="43"/>
        <v>1.7718197617214246E-2</v>
      </c>
      <c r="N41" s="72">
        <f t="shared" si="43"/>
        <v>1.8119763335220095E-2</v>
      </c>
      <c r="O41" s="72">
        <f t="shared" si="43"/>
        <v>1.8580725694334721E-2</v>
      </c>
      <c r="P41" s="72">
        <f t="shared" ref="P41:Q41" si="44">P35/P27</f>
        <v>1.8843041949314042E-2</v>
      </c>
      <c r="Q41" s="72">
        <f t="shared" si="44"/>
        <v>1.8617182995929724E-2</v>
      </c>
      <c r="R41" s="72"/>
      <c r="S41" s="47">
        <f>E41</f>
        <v>1.0040929460492997E-2</v>
      </c>
      <c r="T41" s="47">
        <f>I41</f>
        <v>4.4791020284218504E-2</v>
      </c>
      <c r="U41" s="47">
        <f>M41</f>
        <v>1.7718197617214246E-2</v>
      </c>
      <c r="V41" s="47">
        <f>Q41</f>
        <v>1.8617182995929724E-2</v>
      </c>
      <c r="X41" s="44"/>
      <c r="Z41" s="44"/>
      <c r="AA41" s="44"/>
    </row>
    <row r="42" spans="1:30" ht="17.25" customHeight="1">
      <c r="A42" s="15" t="s">
        <v>60</v>
      </c>
      <c r="B42" s="70"/>
      <c r="C42" s="70"/>
      <c r="D42" s="70"/>
      <c r="E42" s="71"/>
      <c r="F42" s="72"/>
      <c r="G42" s="72"/>
      <c r="H42" s="72"/>
      <c r="I42" s="71"/>
      <c r="J42" s="72"/>
      <c r="K42" s="72">
        <f>K36/K28</f>
        <v>0.22587541411068535</v>
      </c>
      <c r="L42" s="72"/>
      <c r="M42" s="71"/>
      <c r="N42" s="72"/>
      <c r="O42" s="72"/>
      <c r="P42" s="72"/>
      <c r="Q42" s="72"/>
      <c r="R42" s="72"/>
      <c r="S42" s="47"/>
      <c r="T42" s="47"/>
      <c r="U42" s="47"/>
      <c r="V42" s="47"/>
      <c r="X42" s="88"/>
      <c r="Z42" s="88"/>
      <c r="AA42" s="149"/>
      <c r="AD42" s="132"/>
    </row>
    <row r="43" spans="1:30" ht="17.25" customHeight="1">
      <c r="A43" s="15" t="s">
        <v>61</v>
      </c>
      <c r="B43" s="70"/>
      <c r="C43" s="70"/>
      <c r="D43" s="70"/>
      <c r="E43" s="71"/>
      <c r="F43" s="72"/>
      <c r="G43" s="72"/>
      <c r="H43" s="72"/>
      <c r="I43" s="71"/>
      <c r="J43" s="72"/>
      <c r="K43" s="72"/>
      <c r="L43" s="72"/>
      <c r="M43" s="71"/>
      <c r="N43" s="72"/>
      <c r="O43" s="72"/>
      <c r="P43" s="72"/>
      <c r="Q43" s="72"/>
      <c r="R43" s="72"/>
      <c r="S43" s="47"/>
      <c r="T43" s="47"/>
      <c r="U43" s="47"/>
      <c r="V43" s="47"/>
      <c r="X43" s="88"/>
    </row>
    <row r="44" spans="1:30" s="44" customFormat="1" ht="17.25" customHeight="1">
      <c r="A44" s="40" t="s">
        <v>65</v>
      </c>
      <c r="B44" s="73"/>
      <c r="C44" s="73">
        <f t="shared" ref="C44:O44" si="45">C38/C30</f>
        <v>9.9990132425477347E-3</v>
      </c>
      <c r="D44" s="73">
        <f t="shared" si="45"/>
        <v>1.0050251256281407E-2</v>
      </c>
      <c r="E44" s="74">
        <f t="shared" si="45"/>
        <v>1.0040929460492997E-2</v>
      </c>
      <c r="F44" s="75">
        <f t="shared" si="45"/>
        <v>1.733931240657698E-2</v>
      </c>
      <c r="G44" s="75">
        <f t="shared" si="45"/>
        <v>1.7490952955367914E-2</v>
      </c>
      <c r="H44" s="75">
        <f t="shared" si="45"/>
        <v>4.8103883493999494E-2</v>
      </c>
      <c r="I44" s="74">
        <f t="shared" si="45"/>
        <v>4.4791020284218504E-2</v>
      </c>
      <c r="J44" s="75">
        <f t="shared" si="45"/>
        <v>4.9205137322097157E-2</v>
      </c>
      <c r="K44" s="75">
        <f t="shared" si="45"/>
        <v>4.431411003460977E-2</v>
      </c>
      <c r="L44" s="75">
        <f t="shared" si="45"/>
        <v>2.5380216648138287E-2</v>
      </c>
      <c r="M44" s="74">
        <f t="shared" si="45"/>
        <v>1.7718197617214246E-2</v>
      </c>
      <c r="N44" s="75">
        <f t="shared" si="45"/>
        <v>1.8119763335220095E-2</v>
      </c>
      <c r="O44" s="75">
        <f t="shared" si="45"/>
        <v>1.8580725694334721E-2</v>
      </c>
      <c r="P44" s="75">
        <f t="shared" ref="P44:Q44" si="46">P38/P30</f>
        <v>1.8843041949314042E-2</v>
      </c>
      <c r="Q44" s="75">
        <f t="shared" si="46"/>
        <v>1.8617182995929724E-2</v>
      </c>
      <c r="R44" s="75"/>
      <c r="S44" s="49">
        <f>E44</f>
        <v>1.0040929460492997E-2</v>
      </c>
      <c r="T44" s="49">
        <f>I44</f>
        <v>4.4791020284218504E-2</v>
      </c>
      <c r="U44" s="49">
        <f>M44</f>
        <v>1.7718197617214246E-2</v>
      </c>
      <c r="V44" s="49">
        <f>Q44</f>
        <v>1.8617182995929724E-2</v>
      </c>
      <c r="X44" s="88"/>
    </row>
    <row r="45" spans="1:30" s="44" customFormat="1" ht="17.25" customHeight="1">
      <c r="A45" s="40"/>
      <c r="B45" s="73"/>
      <c r="C45" s="73"/>
      <c r="D45" s="73"/>
      <c r="E45" s="74"/>
      <c r="F45" s="75"/>
      <c r="G45" s="75"/>
      <c r="H45" s="75"/>
      <c r="I45" s="74"/>
      <c r="J45" s="75"/>
      <c r="K45" s="75"/>
      <c r="L45" s="75"/>
      <c r="M45" s="74"/>
      <c r="N45" s="75"/>
      <c r="O45" s="75"/>
      <c r="P45" s="75"/>
      <c r="Q45" s="75"/>
      <c r="R45" s="75"/>
      <c r="S45" s="49"/>
      <c r="T45" s="49"/>
      <c r="U45" s="49"/>
      <c r="V45" s="49"/>
      <c r="X45" s="88"/>
    </row>
    <row r="46" spans="1:30" s="44" customFormat="1" ht="17.25" customHeight="1">
      <c r="A46" s="63" t="s">
        <v>243</v>
      </c>
      <c r="B46" s="64"/>
      <c r="C46" s="64"/>
      <c r="D46" s="64"/>
      <c r="E46" s="65"/>
      <c r="F46" s="64"/>
      <c r="G46" s="64"/>
      <c r="H46" s="64"/>
      <c r="I46" s="65"/>
      <c r="J46" s="64"/>
      <c r="K46" s="64"/>
      <c r="L46" s="64"/>
      <c r="M46" s="65"/>
      <c r="N46" s="64"/>
      <c r="O46" s="64"/>
      <c r="P46" s="64"/>
      <c r="Q46" s="64"/>
      <c r="R46" s="64"/>
      <c r="S46" s="64"/>
      <c r="T46" s="64"/>
      <c r="U46" s="64"/>
      <c r="V46" s="64"/>
      <c r="X46" s="146"/>
    </row>
    <row r="47" spans="1:30" s="44" customFormat="1" ht="17.25" customHeight="1">
      <c r="A47" s="66" t="s">
        <v>57</v>
      </c>
      <c r="B47" s="67"/>
      <c r="C47" s="67"/>
      <c r="D47" s="67"/>
      <c r="E47" s="68"/>
      <c r="F47" s="67"/>
      <c r="G47" s="67"/>
      <c r="H47" s="67"/>
      <c r="I47" s="68"/>
      <c r="J47" s="67"/>
      <c r="K47" s="67"/>
      <c r="L47" s="67"/>
      <c r="M47" s="68"/>
      <c r="N47" s="67"/>
      <c r="O47" s="67"/>
      <c r="P47" s="69"/>
      <c r="Q47" s="69"/>
      <c r="R47" s="69"/>
      <c r="S47" s="67"/>
      <c r="T47" s="67"/>
      <c r="U47" s="67"/>
      <c r="V47" s="67"/>
      <c r="X47" s="148"/>
      <c r="Z47" s="148"/>
      <c r="AA47" s="149"/>
    </row>
    <row r="48" spans="1:30" s="44" customFormat="1" ht="17.25" customHeight="1">
      <c r="A48" s="15" t="s">
        <v>59</v>
      </c>
      <c r="B48" s="43">
        <f>B6+B27</f>
        <v>4033.4797684368168</v>
      </c>
      <c r="C48" s="43">
        <f t="shared" ref="C48:P48" si="47">C6+C27</f>
        <v>19860.112311218756</v>
      </c>
      <c r="D48" s="43">
        <f t="shared" si="47"/>
        <v>20929.33365517635</v>
      </c>
      <c r="E48" s="43">
        <f t="shared" si="47"/>
        <v>17780.400000000001</v>
      </c>
      <c r="F48" s="43">
        <f t="shared" si="47"/>
        <v>18587.361809663496</v>
      </c>
      <c r="G48" s="43">
        <f t="shared" si="47"/>
        <v>21100.017777525005</v>
      </c>
      <c r="H48" s="43">
        <f t="shared" si="47"/>
        <v>24991.982811521157</v>
      </c>
      <c r="I48" s="43">
        <f t="shared" si="47"/>
        <v>32276.848730824659</v>
      </c>
      <c r="J48" s="43">
        <f t="shared" si="47"/>
        <v>35149.369328113768</v>
      </c>
      <c r="K48" s="43">
        <f t="shared" si="47"/>
        <v>39595.406584897952</v>
      </c>
      <c r="L48" s="43">
        <f t="shared" si="47"/>
        <v>44934.193709262181</v>
      </c>
      <c r="M48" s="43">
        <f t="shared" si="47"/>
        <v>50010.303902922118</v>
      </c>
      <c r="N48" s="43">
        <f t="shared" si="47"/>
        <v>52394.673883974996</v>
      </c>
      <c r="O48" s="43">
        <f t="shared" si="47"/>
        <v>55974.64968627497</v>
      </c>
      <c r="P48" s="43">
        <f t="shared" si="47"/>
        <v>59617.356957234893</v>
      </c>
      <c r="Q48" s="43">
        <f t="shared" ref="Q48" si="48">Q6+Q27</f>
        <v>64063.238044618032</v>
      </c>
      <c r="R48" s="43"/>
      <c r="S48" s="43">
        <f t="shared" ref="S48:S53" si="49">E48</f>
        <v>17780.400000000001</v>
      </c>
      <c r="T48" s="43">
        <f t="shared" ref="T48:T53" si="50">I48</f>
        <v>32276.848730824659</v>
      </c>
      <c r="U48" s="43">
        <f t="shared" ref="U48:U53" si="51">M48</f>
        <v>50010.303902922118</v>
      </c>
      <c r="V48" s="43">
        <f>Q48</f>
        <v>64063.238044618032</v>
      </c>
    </row>
    <row r="49" spans="1:27" s="44" customFormat="1" ht="17.25" customHeight="1">
      <c r="A49" s="15" t="s">
        <v>60</v>
      </c>
      <c r="B49" s="43">
        <f t="shared" ref="B49:P49" si="52">B7+B28</f>
        <v>214.09899845417613</v>
      </c>
      <c r="C49" s="43">
        <f t="shared" si="52"/>
        <v>2695.6279260942883</v>
      </c>
      <c r="D49" s="43">
        <f t="shared" si="52"/>
        <v>649.87091291121033</v>
      </c>
      <c r="E49" s="43">
        <f t="shared" si="52"/>
        <v>530.40000000000009</v>
      </c>
      <c r="F49" s="43">
        <f t="shared" si="52"/>
        <v>695.75958181396982</v>
      </c>
      <c r="G49" s="43">
        <f t="shared" si="52"/>
        <v>1023</v>
      </c>
      <c r="H49" s="43">
        <f t="shared" si="52"/>
        <v>1143.4477573768572</v>
      </c>
      <c r="I49" s="43">
        <f t="shared" si="52"/>
        <v>708.64987753329024</v>
      </c>
      <c r="J49" s="43">
        <f t="shared" si="52"/>
        <v>828.66805580530763</v>
      </c>
      <c r="K49" s="43">
        <f t="shared" si="52"/>
        <v>1010.2125264550209</v>
      </c>
      <c r="L49" s="43">
        <f t="shared" si="52"/>
        <v>966.90826558194885</v>
      </c>
      <c r="M49" s="43">
        <f t="shared" si="52"/>
        <v>986.04840296630891</v>
      </c>
      <c r="N49" s="43">
        <f t="shared" si="52"/>
        <v>1049.6049389399527</v>
      </c>
      <c r="O49" s="43">
        <f t="shared" si="52"/>
        <v>1181.444434172171</v>
      </c>
      <c r="P49" s="43">
        <f t="shared" si="52"/>
        <v>1362.7789727949498</v>
      </c>
      <c r="Q49" s="43">
        <f t="shared" ref="Q49" si="53">Q7+Q28</f>
        <v>1258.7786739000003</v>
      </c>
      <c r="R49" s="43"/>
      <c r="S49" s="43">
        <f t="shared" si="49"/>
        <v>530.40000000000009</v>
      </c>
      <c r="T49" s="43">
        <f t="shared" si="50"/>
        <v>708.64987753329024</v>
      </c>
      <c r="U49" s="43">
        <f t="shared" si="51"/>
        <v>986.04840296630891</v>
      </c>
      <c r="V49" s="43">
        <f t="shared" ref="V49:V53" si="54">Q49</f>
        <v>1258.7786739000003</v>
      </c>
      <c r="X49" s="148"/>
      <c r="Y49" s="133"/>
      <c r="Z49" s="88"/>
      <c r="AA49" s="149"/>
    </row>
    <row r="50" spans="1:27" s="44" customFormat="1" ht="17.25" customHeight="1">
      <c r="A50" s="15" t="s">
        <v>61</v>
      </c>
      <c r="B50" s="43">
        <f t="shared" ref="B50:P50" si="55">B8+B29</f>
        <v>79.130282807202093</v>
      </c>
      <c r="C50" s="43">
        <f t="shared" si="55"/>
        <v>71.882808895644985</v>
      </c>
      <c r="D50" s="43">
        <f t="shared" si="55"/>
        <v>163.38719997384374</v>
      </c>
      <c r="E50" s="43">
        <f t="shared" si="55"/>
        <v>234</v>
      </c>
      <c r="F50" s="43">
        <f t="shared" si="55"/>
        <v>308.47220123262423</v>
      </c>
      <c r="G50" s="43">
        <f t="shared" si="55"/>
        <v>374</v>
      </c>
      <c r="H50" s="43">
        <f t="shared" si="55"/>
        <v>494.46990316723623</v>
      </c>
      <c r="I50" s="43">
        <f t="shared" si="55"/>
        <v>525.40006379433089</v>
      </c>
      <c r="J50" s="43">
        <f t="shared" si="55"/>
        <v>617.67741418136643</v>
      </c>
      <c r="K50" s="43">
        <f t="shared" si="55"/>
        <v>661.21814059496046</v>
      </c>
      <c r="L50" s="43">
        <f t="shared" si="55"/>
        <v>681.48056306230092</v>
      </c>
      <c r="M50" s="43">
        <f t="shared" si="55"/>
        <v>630.56111417656098</v>
      </c>
      <c r="N50" s="43">
        <f t="shared" si="55"/>
        <v>756.3372064141895</v>
      </c>
      <c r="O50" s="43">
        <f t="shared" si="55"/>
        <v>877.66572253141112</v>
      </c>
      <c r="P50" s="43">
        <f t="shared" si="55"/>
        <v>1010.5039376824587</v>
      </c>
      <c r="Q50" s="43">
        <f t="shared" ref="Q50" si="56">Q8+Q29</f>
        <v>1088.8456136</v>
      </c>
      <c r="R50" s="43"/>
      <c r="S50" s="43">
        <f t="shared" si="49"/>
        <v>234</v>
      </c>
      <c r="T50" s="43">
        <f t="shared" si="50"/>
        <v>525.40006379433089</v>
      </c>
      <c r="U50" s="43">
        <f t="shared" si="51"/>
        <v>630.56111417656098</v>
      </c>
      <c r="V50" s="43">
        <f t="shared" si="54"/>
        <v>1088.8456136</v>
      </c>
      <c r="X50" s="148"/>
      <c r="Y50" s="133"/>
      <c r="Z50" s="88"/>
      <c r="AA50" s="149"/>
    </row>
    <row r="51" spans="1:27" s="44" customFormat="1" ht="17.25" customHeight="1">
      <c r="A51" s="40" t="s">
        <v>62</v>
      </c>
      <c r="B51" s="41">
        <f t="shared" ref="B51:P51" si="57">SUM(B48:B50)</f>
        <v>4326.7090496981946</v>
      </c>
      <c r="C51" s="41">
        <f t="shared" si="57"/>
        <v>22627.62304620869</v>
      </c>
      <c r="D51" s="41">
        <f t="shared" si="57"/>
        <v>21742.591768061404</v>
      </c>
      <c r="E51" s="42">
        <f t="shared" si="57"/>
        <v>18544.800000000003</v>
      </c>
      <c r="F51" s="41">
        <f t="shared" si="57"/>
        <v>19591.593592710091</v>
      </c>
      <c r="G51" s="41">
        <f t="shared" si="57"/>
        <v>22497.017777525005</v>
      </c>
      <c r="H51" s="41">
        <f t="shared" si="57"/>
        <v>26629.900472065248</v>
      </c>
      <c r="I51" s="42">
        <f t="shared" si="57"/>
        <v>33510.898672152282</v>
      </c>
      <c r="J51" s="41">
        <f t="shared" si="57"/>
        <v>36595.714798100438</v>
      </c>
      <c r="K51" s="41">
        <f t="shared" si="57"/>
        <v>41266.837251947931</v>
      </c>
      <c r="L51" s="41">
        <f t="shared" si="57"/>
        <v>46582.582537906434</v>
      </c>
      <c r="M51" s="42">
        <f t="shared" si="57"/>
        <v>51626.913420064986</v>
      </c>
      <c r="N51" s="41">
        <f t="shared" si="57"/>
        <v>54200.61602932914</v>
      </c>
      <c r="O51" s="41">
        <f t="shared" si="57"/>
        <v>58033.75984297855</v>
      </c>
      <c r="P51" s="41">
        <f t="shared" si="57"/>
        <v>61990.6398677123</v>
      </c>
      <c r="Q51" s="41">
        <f t="shared" ref="Q51" si="58">SUM(Q48:Q50)</f>
        <v>66410.862332118035</v>
      </c>
      <c r="R51" s="41"/>
      <c r="S51" s="41">
        <f t="shared" si="49"/>
        <v>18544.800000000003</v>
      </c>
      <c r="T51" s="41">
        <f t="shared" si="50"/>
        <v>33510.898672152282</v>
      </c>
      <c r="U51" s="41">
        <f t="shared" si="51"/>
        <v>51626.913420064986</v>
      </c>
      <c r="V51" s="41">
        <f t="shared" si="54"/>
        <v>66410.862332118035</v>
      </c>
    </row>
    <row r="52" spans="1:27" s="44" customFormat="1" ht="17.25" customHeight="1">
      <c r="A52" s="15" t="s">
        <v>55</v>
      </c>
      <c r="B52" s="43">
        <f>B10+B31</f>
        <v>0</v>
      </c>
      <c r="C52" s="43">
        <f t="shared" ref="C52:P52" si="59">C10+C31</f>
        <v>0</v>
      </c>
      <c r="D52" s="43">
        <f t="shared" si="59"/>
        <v>0</v>
      </c>
      <c r="E52" s="43">
        <f t="shared" si="59"/>
        <v>3465</v>
      </c>
      <c r="F52" s="43">
        <f t="shared" si="59"/>
        <v>3343.89</v>
      </c>
      <c r="G52" s="43">
        <f t="shared" si="59"/>
        <v>3204</v>
      </c>
      <c r="H52" s="43">
        <f t="shared" si="59"/>
        <v>3136.5361919675815</v>
      </c>
      <c r="I52" s="43">
        <f t="shared" si="59"/>
        <v>1425.0272973423901</v>
      </c>
      <c r="J52" s="43">
        <f t="shared" si="59"/>
        <v>1340.3074895431048</v>
      </c>
      <c r="K52" s="43">
        <f t="shared" si="59"/>
        <v>1226.7318987881099</v>
      </c>
      <c r="L52" s="43">
        <f t="shared" si="59"/>
        <v>1132.07</v>
      </c>
      <c r="M52" s="43">
        <f t="shared" si="59"/>
        <v>1020.2564411733441</v>
      </c>
      <c r="N52" s="43">
        <f t="shared" si="59"/>
        <v>877.38142156571791</v>
      </c>
      <c r="O52" s="43">
        <f t="shared" si="59"/>
        <v>619.81562294425692</v>
      </c>
      <c r="P52" s="43">
        <f t="shared" si="59"/>
        <v>466.79082318414203</v>
      </c>
      <c r="Q52" s="43">
        <f t="shared" ref="Q52" si="60">Q10+Q31</f>
        <v>354.45718504041491</v>
      </c>
      <c r="R52" s="43"/>
      <c r="S52" s="43">
        <f t="shared" si="49"/>
        <v>3465</v>
      </c>
      <c r="T52" s="43">
        <f t="shared" si="50"/>
        <v>1425.0272973423901</v>
      </c>
      <c r="U52" s="43">
        <f t="shared" si="51"/>
        <v>1020.2564411733441</v>
      </c>
      <c r="V52" s="43">
        <f t="shared" si="54"/>
        <v>354.45718504041491</v>
      </c>
      <c r="X52" s="148"/>
      <c r="Y52" s="133"/>
    </row>
    <row r="53" spans="1:27" s="44" customFormat="1" ht="17.25" customHeight="1">
      <c r="A53" s="40" t="s">
        <v>63</v>
      </c>
      <c r="B53" s="41">
        <f t="shared" ref="B53:P53" si="61">SUM(B51:B52)</f>
        <v>4326.7090496981946</v>
      </c>
      <c r="C53" s="41">
        <f t="shared" si="61"/>
        <v>22627.62304620869</v>
      </c>
      <c r="D53" s="41">
        <f t="shared" si="61"/>
        <v>21742.591768061404</v>
      </c>
      <c r="E53" s="42">
        <f t="shared" si="61"/>
        <v>22009.800000000003</v>
      </c>
      <c r="F53" s="41">
        <f t="shared" si="61"/>
        <v>22935.48359271009</v>
      </c>
      <c r="G53" s="41">
        <f t="shared" si="61"/>
        <v>25701.017777525005</v>
      </c>
      <c r="H53" s="41">
        <f t="shared" si="61"/>
        <v>29766.43666403283</v>
      </c>
      <c r="I53" s="42">
        <f t="shared" si="61"/>
        <v>34935.925969494674</v>
      </c>
      <c r="J53" s="41">
        <f t="shared" si="61"/>
        <v>37936.022287643544</v>
      </c>
      <c r="K53" s="41">
        <f t="shared" si="61"/>
        <v>42493.569150736039</v>
      </c>
      <c r="L53" s="41">
        <f t="shared" si="61"/>
        <v>47714.652537906433</v>
      </c>
      <c r="M53" s="42">
        <f t="shared" si="61"/>
        <v>52647.169861238333</v>
      </c>
      <c r="N53" s="41">
        <f t="shared" si="61"/>
        <v>55077.997450894858</v>
      </c>
      <c r="O53" s="41">
        <f t="shared" si="61"/>
        <v>58653.575465922804</v>
      </c>
      <c r="P53" s="41">
        <f t="shared" si="61"/>
        <v>62457.430690896443</v>
      </c>
      <c r="Q53" s="41">
        <f t="shared" ref="Q53" si="62">SUM(Q51:Q52)</f>
        <v>66765.319517158452</v>
      </c>
      <c r="R53" s="41"/>
      <c r="S53" s="41">
        <f t="shared" si="49"/>
        <v>22009.800000000003</v>
      </c>
      <c r="T53" s="41">
        <f t="shared" si="50"/>
        <v>34935.925969494674</v>
      </c>
      <c r="U53" s="41">
        <f t="shared" si="51"/>
        <v>52647.169861238333</v>
      </c>
      <c r="V53" s="41">
        <f t="shared" si="54"/>
        <v>66765.319517158452</v>
      </c>
      <c r="X53" s="148"/>
      <c r="Y53" s="133"/>
    </row>
    <row r="54" spans="1:27" s="44" customFormat="1" ht="17.25" customHeight="1">
      <c r="A54" s="15"/>
      <c r="B54" s="10"/>
      <c r="C54" s="10"/>
      <c r="D54" s="10"/>
      <c r="E54" s="34"/>
      <c r="F54" s="10"/>
      <c r="G54" s="10"/>
      <c r="H54" s="10"/>
      <c r="I54" s="34"/>
      <c r="J54" s="10"/>
      <c r="K54" s="10"/>
      <c r="L54" s="10"/>
      <c r="M54" s="34"/>
      <c r="N54" s="10"/>
      <c r="O54" s="10"/>
      <c r="P54" s="10"/>
      <c r="Q54" s="10"/>
      <c r="R54" s="10"/>
      <c r="S54" s="10"/>
      <c r="T54" s="10"/>
      <c r="U54" s="10"/>
      <c r="V54" s="10"/>
    </row>
    <row r="55" spans="1:27" s="44" customFormat="1" ht="17.25" customHeight="1">
      <c r="A55" s="66" t="s">
        <v>58</v>
      </c>
      <c r="B55" s="67"/>
      <c r="C55" s="67"/>
      <c r="D55" s="67"/>
      <c r="E55" s="68"/>
      <c r="F55" s="67"/>
      <c r="G55" s="67"/>
      <c r="H55" s="67"/>
      <c r="I55" s="68"/>
      <c r="J55" s="67"/>
      <c r="K55" s="67"/>
      <c r="L55" s="67"/>
      <c r="M55" s="68"/>
      <c r="N55" s="67"/>
      <c r="O55" s="67"/>
      <c r="P55" s="69"/>
      <c r="Q55" s="69"/>
      <c r="R55" s="69"/>
      <c r="S55" s="67"/>
      <c r="T55" s="67"/>
      <c r="U55" s="67"/>
      <c r="V55" s="67"/>
    </row>
    <row r="56" spans="1:27" s="44" customFormat="1" ht="17.25" customHeight="1">
      <c r="A56" s="15" t="s">
        <v>59</v>
      </c>
      <c r="B56" s="43">
        <f>B14+B35</f>
        <v>67.029168669198384</v>
      </c>
      <c r="C56" s="43">
        <f t="shared" ref="C56:P56" si="63">C14+C35</f>
        <v>71.592207935755255</v>
      </c>
      <c r="D56" s="43">
        <f t="shared" si="63"/>
        <v>123</v>
      </c>
      <c r="E56" s="43">
        <f t="shared" si="63"/>
        <v>181.7892944192987</v>
      </c>
      <c r="F56" s="43">
        <f t="shared" si="63"/>
        <v>183.75499471365356</v>
      </c>
      <c r="G56" s="43">
        <f t="shared" si="63"/>
        <v>235.84370409098563</v>
      </c>
      <c r="H56" s="43">
        <f t="shared" si="63"/>
        <v>402.0614530776802</v>
      </c>
      <c r="I56" s="43">
        <f t="shared" si="63"/>
        <v>552.80311080909905</v>
      </c>
      <c r="J56" s="43">
        <f t="shared" si="63"/>
        <v>524.41936473943861</v>
      </c>
      <c r="K56" s="43">
        <f t="shared" si="63"/>
        <v>587.31013528218807</v>
      </c>
      <c r="L56" s="43">
        <f t="shared" si="63"/>
        <v>622.55539968111827</v>
      </c>
      <c r="M56" s="43">
        <f t="shared" si="63"/>
        <v>650.38452624651472</v>
      </c>
      <c r="N56" s="43">
        <f t="shared" si="63"/>
        <v>582.88105974664268</v>
      </c>
      <c r="O56" s="43">
        <f t="shared" si="63"/>
        <v>621.56514480318674</v>
      </c>
      <c r="P56" s="43">
        <f t="shared" si="63"/>
        <v>670.96152093106411</v>
      </c>
      <c r="Q56" s="43">
        <f t="shared" ref="Q56" si="64">Q14+Q35</f>
        <v>726.2734724490964</v>
      </c>
      <c r="R56" s="43"/>
      <c r="S56" s="43">
        <f>E56</f>
        <v>181.7892944192987</v>
      </c>
      <c r="T56" s="43">
        <f>I56</f>
        <v>552.80311080909905</v>
      </c>
      <c r="U56" s="43">
        <f>M56</f>
        <v>650.38452624651472</v>
      </c>
      <c r="V56" s="43">
        <f>Q56</f>
        <v>726.2734724490964</v>
      </c>
    </row>
    <row r="57" spans="1:27" s="44" customFormat="1" ht="17.25" customHeight="1">
      <c r="A57" s="15" t="s">
        <v>60</v>
      </c>
      <c r="B57" s="43">
        <f t="shared" ref="B57:P57" si="65">B15+B36</f>
        <v>13.132628008352185</v>
      </c>
      <c r="C57" s="43">
        <f t="shared" si="65"/>
        <v>16.680985559875921</v>
      </c>
      <c r="D57" s="43">
        <f t="shared" si="65"/>
        <v>26</v>
      </c>
      <c r="E57" s="43">
        <f t="shared" si="65"/>
        <v>29.416711985509892</v>
      </c>
      <c r="F57" s="43">
        <f t="shared" si="65"/>
        <v>29.363507554664238</v>
      </c>
      <c r="G57" s="43">
        <f t="shared" si="65"/>
        <v>37.72697530963751</v>
      </c>
      <c r="H57" s="43">
        <f t="shared" si="65"/>
        <v>45.127205882069802</v>
      </c>
      <c r="I57" s="43">
        <f t="shared" si="65"/>
        <v>33.835743032879236</v>
      </c>
      <c r="J57" s="43">
        <f t="shared" si="65"/>
        <v>27.567010728095738</v>
      </c>
      <c r="K57" s="43">
        <f t="shared" si="65"/>
        <v>56.603518600656798</v>
      </c>
      <c r="L57" s="43">
        <f t="shared" si="65"/>
        <v>32.044788687691153</v>
      </c>
      <c r="M57" s="43">
        <f t="shared" si="65"/>
        <v>32.239821664579267</v>
      </c>
      <c r="N57" s="43">
        <f t="shared" si="65"/>
        <v>123.4741423110496</v>
      </c>
      <c r="O57" s="43">
        <f t="shared" si="65"/>
        <v>136.29685992737245</v>
      </c>
      <c r="P57" s="43">
        <f t="shared" si="65"/>
        <v>146.04818398099997</v>
      </c>
      <c r="Q57" s="43">
        <f t="shared" ref="Q57" si="66">Q15+Q36</f>
        <v>149.21135862900007</v>
      </c>
      <c r="R57" s="43"/>
      <c r="S57" s="43">
        <f>E57</f>
        <v>29.416711985509892</v>
      </c>
      <c r="T57" s="43">
        <f>I57</f>
        <v>33.835743032879236</v>
      </c>
      <c r="U57" s="43">
        <f>M57</f>
        <v>32.239821664579267</v>
      </c>
      <c r="V57" s="43">
        <f t="shared" ref="V57:V59" si="67">Q57</f>
        <v>149.21135862900007</v>
      </c>
    </row>
    <row r="58" spans="1:27" s="44" customFormat="1" ht="17.25" customHeight="1">
      <c r="A58" s="15" t="s">
        <v>61</v>
      </c>
      <c r="B58" s="43">
        <f t="shared" ref="B58:P58" si="68">B16+B37</f>
        <v>26.153982462185809</v>
      </c>
      <c r="C58" s="43">
        <f t="shared" si="68"/>
        <v>28.875845906156769</v>
      </c>
      <c r="D58" s="43">
        <f t="shared" si="68"/>
        <v>54</v>
      </c>
      <c r="E58" s="43">
        <f t="shared" si="68"/>
        <v>71.252330510800221</v>
      </c>
      <c r="F58" s="43">
        <f t="shared" si="68"/>
        <v>89.06501367501005</v>
      </c>
      <c r="G58" s="43">
        <f t="shared" si="68"/>
        <v>108.56027461836925</v>
      </c>
      <c r="H58" s="43">
        <f t="shared" si="68"/>
        <v>144.88153804871354</v>
      </c>
      <c r="I58" s="43">
        <f t="shared" si="68"/>
        <v>170.60352815363535</v>
      </c>
      <c r="J58" s="43">
        <f t="shared" si="68"/>
        <v>221.3549725303078</v>
      </c>
      <c r="K58" s="43">
        <f t="shared" si="68"/>
        <v>224.78877543630529</v>
      </c>
      <c r="L58" s="43">
        <f t="shared" si="68"/>
        <v>248.12808198242794</v>
      </c>
      <c r="M58" s="43">
        <f t="shared" si="68"/>
        <v>229.58827151524304</v>
      </c>
      <c r="N58" s="43">
        <f t="shared" si="68"/>
        <v>278.78041290961312</v>
      </c>
      <c r="O58" s="43">
        <f t="shared" si="68"/>
        <v>335.90481668273389</v>
      </c>
      <c r="P58" s="43">
        <f t="shared" si="68"/>
        <v>407.39327765600001</v>
      </c>
      <c r="Q58" s="43">
        <f t="shared" ref="Q58" si="69">Q16+Q37</f>
        <v>438.20000506300005</v>
      </c>
      <c r="R58" s="43"/>
      <c r="S58" s="43">
        <f>E58</f>
        <v>71.252330510800221</v>
      </c>
      <c r="T58" s="43">
        <f>I58</f>
        <v>170.60352815363535</v>
      </c>
      <c r="U58" s="43">
        <f>M58</f>
        <v>229.58827151524304</v>
      </c>
      <c r="V58" s="43">
        <f t="shared" si="67"/>
        <v>438.20000506300005</v>
      </c>
    </row>
    <row r="59" spans="1:27" s="44" customFormat="1" ht="17.25" customHeight="1">
      <c r="A59" s="40" t="s">
        <v>54</v>
      </c>
      <c r="B59" s="41">
        <f t="shared" ref="B59" si="70">SUM(B56:B58)</f>
        <v>106.31577913973638</v>
      </c>
      <c r="C59" s="41">
        <f t="shared" ref="C59:P59" si="71">SUM(C56:C58)</f>
        <v>117.14903940178795</v>
      </c>
      <c r="D59" s="41">
        <f t="shared" si="71"/>
        <v>203</v>
      </c>
      <c r="E59" s="42">
        <f t="shared" si="71"/>
        <v>282.45833691560881</v>
      </c>
      <c r="F59" s="41">
        <f t="shared" si="71"/>
        <v>302.18351594332785</v>
      </c>
      <c r="G59" s="41">
        <f t="shared" si="71"/>
        <v>382.13095401899238</v>
      </c>
      <c r="H59" s="41">
        <f t="shared" si="71"/>
        <v>592.07019700846354</v>
      </c>
      <c r="I59" s="42">
        <f t="shared" si="71"/>
        <v>757.24238199561364</v>
      </c>
      <c r="J59" s="41">
        <f t="shared" si="71"/>
        <v>773.34134799784215</v>
      </c>
      <c r="K59" s="41">
        <f t="shared" si="71"/>
        <v>868.70242931915016</v>
      </c>
      <c r="L59" s="41">
        <f t="shared" si="71"/>
        <v>902.72827035123737</v>
      </c>
      <c r="M59" s="42">
        <f t="shared" si="71"/>
        <v>912.21261942633703</v>
      </c>
      <c r="N59" s="41">
        <f t="shared" si="71"/>
        <v>985.1356149673054</v>
      </c>
      <c r="O59" s="41">
        <f t="shared" si="71"/>
        <v>1093.7668214132932</v>
      </c>
      <c r="P59" s="41">
        <f t="shared" si="71"/>
        <v>1224.4029825680641</v>
      </c>
      <c r="Q59" s="41">
        <f t="shared" ref="Q59" si="72">SUM(Q56:Q58)</f>
        <v>1313.6848361410966</v>
      </c>
      <c r="R59" s="41"/>
      <c r="S59" s="41">
        <f>E59</f>
        <v>282.45833691560881</v>
      </c>
      <c r="T59" s="41">
        <f>I59</f>
        <v>757.24238199561364</v>
      </c>
      <c r="U59" s="41">
        <f>M59</f>
        <v>912.21261942633703</v>
      </c>
      <c r="V59" s="41">
        <f t="shared" si="67"/>
        <v>1313.6848361410966</v>
      </c>
    </row>
    <row r="60" spans="1:27" s="44" customFormat="1" ht="17.25" customHeight="1">
      <c r="A60" s="15"/>
      <c r="B60" s="10"/>
      <c r="C60" s="10"/>
      <c r="D60" s="10"/>
      <c r="E60" s="34"/>
      <c r="F60" s="10"/>
      <c r="G60" s="10"/>
      <c r="H60" s="10"/>
      <c r="I60" s="34"/>
      <c r="J60" s="10"/>
      <c r="K60" s="10"/>
      <c r="L60" s="10"/>
      <c r="M60" s="34"/>
      <c r="N60" s="10"/>
      <c r="O60" s="10"/>
      <c r="P60" s="10"/>
      <c r="Q60" s="10"/>
      <c r="R60" s="10"/>
      <c r="S60" s="10"/>
      <c r="T60" s="10"/>
      <c r="U60" s="10"/>
      <c r="V60" s="10"/>
    </row>
    <row r="61" spans="1:27" s="44" customFormat="1" ht="17.25" customHeight="1">
      <c r="A61" s="66" t="s">
        <v>64</v>
      </c>
      <c r="B61" s="67"/>
      <c r="C61" s="67"/>
      <c r="D61" s="67"/>
      <c r="E61" s="68"/>
      <c r="F61" s="67"/>
      <c r="G61" s="67"/>
      <c r="H61" s="67"/>
      <c r="I61" s="68"/>
      <c r="J61" s="67"/>
      <c r="K61" s="67"/>
      <c r="L61" s="67"/>
      <c r="M61" s="68"/>
      <c r="N61" s="67"/>
      <c r="O61" s="67"/>
      <c r="P61" s="69"/>
      <c r="Q61" s="69"/>
      <c r="R61" s="69"/>
      <c r="S61" s="67"/>
      <c r="T61" s="67"/>
      <c r="U61" s="67"/>
      <c r="V61" s="67"/>
    </row>
    <row r="62" spans="1:27" s="44" customFormat="1" ht="17.25" customHeight="1">
      <c r="A62" s="15" t="s">
        <v>59</v>
      </c>
      <c r="B62" s="70">
        <f>B56/B48</f>
        <v>1.6618198805339657E-2</v>
      </c>
      <c r="C62" s="70">
        <f>C56/C48</f>
        <v>3.6048239211272544E-3</v>
      </c>
      <c r="D62" s="70">
        <f>D56/D48</f>
        <v>5.876919066153786E-3</v>
      </c>
      <c r="E62" s="71">
        <f t="shared" ref="E62:P65" si="73">E56/E48</f>
        <v>1.0224139750472356E-2</v>
      </c>
      <c r="F62" s="72">
        <f t="shared" si="73"/>
        <v>9.8860180694454475E-3</v>
      </c>
      <c r="G62" s="72">
        <f t="shared" si="73"/>
        <v>1.1177417316785298E-2</v>
      </c>
      <c r="H62" s="72">
        <f t="shared" si="73"/>
        <v>1.6087617221484812E-2</v>
      </c>
      <c r="I62" s="71">
        <f t="shared" si="73"/>
        <v>1.7126923245179369E-2</v>
      </c>
      <c r="J62" s="72">
        <f t="shared" si="73"/>
        <v>1.4919737530539092E-2</v>
      </c>
      <c r="K62" s="72">
        <f t="shared" si="73"/>
        <v>1.4832784556029625E-2</v>
      </c>
      <c r="L62" s="72">
        <f t="shared" si="73"/>
        <v>1.3854825207485415E-2</v>
      </c>
      <c r="M62" s="71">
        <f t="shared" si="73"/>
        <v>1.3005010477621044E-2</v>
      </c>
      <c r="N62" s="72">
        <f t="shared" si="73"/>
        <v>1.1124815110738153E-2</v>
      </c>
      <c r="O62" s="72">
        <f t="shared" si="73"/>
        <v>1.1104404373889187E-2</v>
      </c>
      <c r="P62" s="72">
        <f t="shared" si="73"/>
        <v>1.1254466067866151E-2</v>
      </c>
      <c r="Q62" s="72">
        <f t="shared" ref="Q62" si="74">Q56/Q48</f>
        <v>1.1336821156983506E-2</v>
      </c>
      <c r="R62" s="72"/>
      <c r="S62" s="47">
        <f>E62</f>
        <v>1.0224139750472356E-2</v>
      </c>
      <c r="T62" s="47">
        <f>I62</f>
        <v>1.7126923245179369E-2</v>
      </c>
      <c r="U62" s="47">
        <f>M62</f>
        <v>1.3005010477621044E-2</v>
      </c>
      <c r="V62" s="47">
        <f>Q62</f>
        <v>1.1336821156983506E-2</v>
      </c>
    </row>
    <row r="63" spans="1:27" s="44" customFormat="1" ht="17.25" customHeight="1">
      <c r="A63" s="15" t="s">
        <v>60</v>
      </c>
      <c r="B63" s="70">
        <f t="shared" ref="B63:O63" si="75">B57/B49</f>
        <v>6.1339044568968305E-2</v>
      </c>
      <c r="C63" s="70">
        <f t="shared" si="75"/>
        <v>6.188163209914917E-3</v>
      </c>
      <c r="D63" s="70">
        <f t="shared" si="75"/>
        <v>4.0007945398769208E-2</v>
      </c>
      <c r="E63" s="71">
        <f t="shared" si="75"/>
        <v>5.5461372521700393E-2</v>
      </c>
      <c r="F63" s="72">
        <f t="shared" si="75"/>
        <v>4.2203525933639775E-2</v>
      </c>
      <c r="G63" s="72">
        <f t="shared" si="75"/>
        <v>3.6878763743536179E-2</v>
      </c>
      <c r="H63" s="72">
        <f t="shared" si="75"/>
        <v>3.9465909649947208E-2</v>
      </c>
      <c r="I63" s="71">
        <f t="shared" si="75"/>
        <v>4.7746770451237021E-2</v>
      </c>
      <c r="J63" s="72">
        <f t="shared" si="75"/>
        <v>3.3266650663040041E-2</v>
      </c>
      <c r="K63" s="72">
        <f t="shared" si="75"/>
        <v>5.603129749270342E-2</v>
      </c>
      <c r="L63" s="72">
        <f t="shared" si="75"/>
        <v>3.3141498349281866E-2</v>
      </c>
      <c r="M63" s="71">
        <f t="shared" si="75"/>
        <v>3.2695982841808663E-2</v>
      </c>
      <c r="N63" s="72">
        <f t="shared" si="75"/>
        <v>0.11763868264163484</v>
      </c>
      <c r="O63" s="72">
        <f t="shared" si="75"/>
        <v>0.11536459606995789</v>
      </c>
      <c r="P63" s="72">
        <f t="shared" si="73"/>
        <v>0.10716938468860208</v>
      </c>
      <c r="Q63" s="72">
        <f t="shared" ref="Q63" si="76">Q57/Q49</f>
        <v>0.11853661149716435</v>
      </c>
      <c r="R63" s="72"/>
      <c r="S63" s="47">
        <f>E63</f>
        <v>5.5461372521700393E-2</v>
      </c>
      <c r="T63" s="47">
        <f>I63</f>
        <v>4.7746770451237021E-2</v>
      </c>
      <c r="U63" s="47">
        <f>M63</f>
        <v>3.2695982841808663E-2</v>
      </c>
      <c r="V63" s="47">
        <f t="shared" ref="V63:V65" si="77">Q63</f>
        <v>0.11853661149716435</v>
      </c>
    </row>
    <row r="64" spans="1:27" s="44" customFormat="1" ht="17.25" customHeight="1">
      <c r="A64" s="15" t="s">
        <v>61</v>
      </c>
      <c r="B64" s="70">
        <f t="shared" ref="B64:O64" si="78">B58/B50</f>
        <v>0.33051799556825784</v>
      </c>
      <c r="C64" s="70">
        <f t="shared" si="78"/>
        <v>0.40170725587639372</v>
      </c>
      <c r="D64" s="70">
        <f t="shared" si="78"/>
        <v>0.33050324632923955</v>
      </c>
      <c r="E64" s="71">
        <f t="shared" si="78"/>
        <v>0.30449713893504365</v>
      </c>
      <c r="F64" s="72">
        <f t="shared" si="78"/>
        <v>0.28872946514828601</v>
      </c>
      <c r="G64" s="72">
        <f t="shared" si="78"/>
        <v>0.29026811395285895</v>
      </c>
      <c r="H64" s="72">
        <f t="shared" si="78"/>
        <v>0.29300375436543546</v>
      </c>
      <c r="I64" s="71">
        <f t="shared" si="78"/>
        <v>0.32471166242647909</v>
      </c>
      <c r="J64" s="72">
        <f t="shared" si="78"/>
        <v>0.3583666286773311</v>
      </c>
      <c r="K64" s="72">
        <f t="shared" si="78"/>
        <v>0.33996159759628131</v>
      </c>
      <c r="L64" s="72">
        <f t="shared" si="78"/>
        <v>0.36410148055791886</v>
      </c>
      <c r="M64" s="71">
        <f t="shared" si="78"/>
        <v>0.36410153806432932</v>
      </c>
      <c r="N64" s="72">
        <f t="shared" si="78"/>
        <v>0.36859275273699266</v>
      </c>
      <c r="O64" s="72">
        <f t="shared" si="78"/>
        <v>0.38272523132599845</v>
      </c>
      <c r="P64" s="72">
        <f t="shared" si="73"/>
        <v>0.40315852562666554</v>
      </c>
      <c r="Q64" s="72">
        <f t="shared" ref="Q64" si="79">Q58/Q50</f>
        <v>0.40244457027677194</v>
      </c>
      <c r="R64" s="72"/>
      <c r="S64" s="47">
        <f>E64</f>
        <v>0.30449713893504365</v>
      </c>
      <c r="T64" s="47">
        <f>I64</f>
        <v>0.32471166242647909</v>
      </c>
      <c r="U64" s="47">
        <f>M64</f>
        <v>0.36410153806432932</v>
      </c>
      <c r="V64" s="47">
        <f t="shared" si="77"/>
        <v>0.40244457027677194</v>
      </c>
    </row>
    <row r="65" spans="1:23" s="44" customFormat="1" ht="17.25" customHeight="1">
      <c r="A65" s="40" t="s">
        <v>65</v>
      </c>
      <c r="B65" s="73">
        <f t="shared" ref="B65:O65" si="80">B59/B51</f>
        <v>2.4571973275427969E-2</v>
      </c>
      <c r="C65" s="73">
        <f t="shared" si="80"/>
        <v>5.1772578658639328E-3</v>
      </c>
      <c r="D65" s="73">
        <f t="shared" si="80"/>
        <v>9.3365134279067476E-3</v>
      </c>
      <c r="E65" s="74">
        <f t="shared" si="80"/>
        <v>1.5231134167831886E-2</v>
      </c>
      <c r="F65" s="75">
        <f t="shared" si="80"/>
        <v>1.5424141712278497E-2</v>
      </c>
      <c r="G65" s="75">
        <f t="shared" si="80"/>
        <v>1.6985849315581253E-2</v>
      </c>
      <c r="H65" s="75">
        <f t="shared" si="80"/>
        <v>2.2233286137495891E-2</v>
      </c>
      <c r="I65" s="74">
        <f t="shared" si="80"/>
        <v>2.2596898680753246E-2</v>
      </c>
      <c r="J65" s="75">
        <f t="shared" si="80"/>
        <v>2.113201920674012E-2</v>
      </c>
      <c r="K65" s="75">
        <f t="shared" si="80"/>
        <v>2.1050860380102052E-2</v>
      </c>
      <c r="L65" s="75">
        <f t="shared" si="80"/>
        <v>1.9379094527802211E-2</v>
      </c>
      <c r="M65" s="74">
        <f t="shared" si="80"/>
        <v>1.7669323207530788E-2</v>
      </c>
      <c r="N65" s="75">
        <f t="shared" si="80"/>
        <v>1.8175727272808615E-2</v>
      </c>
      <c r="O65" s="75">
        <f t="shared" si="80"/>
        <v>1.8847078396655479E-2</v>
      </c>
      <c r="P65" s="75">
        <f t="shared" si="73"/>
        <v>1.9751417071689106E-2</v>
      </c>
      <c r="Q65" s="75">
        <f t="shared" ref="Q65" si="81">Q59/Q51</f>
        <v>1.9781174193634347E-2</v>
      </c>
      <c r="R65" s="75"/>
      <c r="S65" s="49">
        <f>E65</f>
        <v>1.5231134167831886E-2</v>
      </c>
      <c r="T65" s="49">
        <f>I65</f>
        <v>2.2596898680753246E-2</v>
      </c>
      <c r="U65" s="49">
        <f>M65</f>
        <v>1.7669323207530788E-2</v>
      </c>
      <c r="V65" s="49">
        <f t="shared" si="77"/>
        <v>1.9781174193634347E-2</v>
      </c>
    </row>
    <row r="66" spans="1:23" s="44" customFormat="1" ht="17.25" customHeight="1">
      <c r="A66" s="40"/>
      <c r="B66" s="73"/>
      <c r="C66" s="73"/>
      <c r="D66" s="73"/>
      <c r="E66" s="74"/>
      <c r="F66" s="75"/>
      <c r="G66" s="75"/>
      <c r="H66" s="75"/>
      <c r="I66" s="74"/>
      <c r="J66" s="75"/>
      <c r="K66" s="75"/>
      <c r="L66" s="75"/>
      <c r="M66" s="74"/>
      <c r="N66" s="75"/>
      <c r="O66" s="75"/>
      <c r="P66" s="75"/>
      <c r="Q66" s="75"/>
      <c r="R66" s="75"/>
      <c r="S66" s="49"/>
      <c r="T66" s="49"/>
      <c r="U66" s="49"/>
      <c r="V66" s="49"/>
    </row>
    <row r="67" spans="1:23" s="1" customFormat="1" ht="22.5" customHeight="1">
      <c r="A67" s="20" t="s">
        <v>127</v>
      </c>
      <c r="B67" s="21"/>
      <c r="C67" s="21"/>
      <c r="D67" s="21"/>
      <c r="E67" s="22"/>
      <c r="F67" s="21"/>
      <c r="G67" s="21"/>
      <c r="H67" s="21"/>
      <c r="I67" s="22"/>
      <c r="J67" s="21"/>
      <c r="K67" s="21"/>
      <c r="L67" s="21"/>
      <c r="M67" s="22"/>
      <c r="N67" s="21"/>
      <c r="O67" s="21"/>
      <c r="P67" s="21"/>
      <c r="Q67" s="21"/>
      <c r="R67" s="21"/>
      <c r="S67" s="21"/>
      <c r="T67" s="21"/>
      <c r="U67" s="21"/>
      <c r="V67" s="21"/>
    </row>
    <row r="68" spans="1:23" ht="17.25" customHeight="1">
      <c r="A68" s="76" t="s">
        <v>128</v>
      </c>
      <c r="B68" s="77"/>
      <c r="C68" s="77"/>
      <c r="D68" s="77"/>
      <c r="E68" s="78"/>
      <c r="F68" s="77"/>
      <c r="G68" s="77"/>
      <c r="H68" s="77"/>
      <c r="I68" s="78"/>
      <c r="J68" s="77"/>
      <c r="K68" s="77"/>
      <c r="L68" s="77"/>
      <c r="M68" s="78"/>
      <c r="N68" s="77"/>
      <c r="O68" s="77"/>
      <c r="P68" s="77"/>
      <c r="Q68" s="77"/>
      <c r="R68" s="77"/>
      <c r="S68" s="77"/>
      <c r="T68" s="77"/>
      <c r="U68" s="77"/>
      <c r="V68" s="77"/>
    </row>
    <row r="69" spans="1:23" ht="17.25" customHeight="1">
      <c r="A69" s="66" t="s">
        <v>57</v>
      </c>
      <c r="B69" s="67"/>
      <c r="C69" s="67"/>
      <c r="D69" s="67"/>
      <c r="E69" s="68"/>
      <c r="F69" s="67"/>
      <c r="G69" s="67"/>
      <c r="H69" s="67"/>
      <c r="I69" s="68"/>
      <c r="J69" s="67"/>
      <c r="K69" s="67"/>
      <c r="L69" s="67"/>
      <c r="M69" s="68"/>
      <c r="N69" s="67"/>
      <c r="O69" s="67"/>
      <c r="P69" s="69"/>
      <c r="Q69" s="69"/>
      <c r="R69" s="69"/>
      <c r="S69" s="67"/>
      <c r="T69" s="67"/>
      <c r="U69" s="67"/>
      <c r="V69" s="67"/>
      <c r="W69" s="44"/>
    </row>
    <row r="70" spans="1:23" ht="17.25" customHeight="1">
      <c r="A70" s="15" t="s">
        <v>59</v>
      </c>
      <c r="B70" s="43">
        <v>37997.050000000003</v>
      </c>
      <c r="C70" s="43">
        <v>39307.205065725844</v>
      </c>
      <c r="D70" s="43">
        <v>39265.66634482365</v>
      </c>
      <c r="E70" s="55">
        <v>37640</v>
      </c>
      <c r="F70" s="43">
        <v>35851</v>
      </c>
      <c r="G70" s="43">
        <v>27035</v>
      </c>
      <c r="H70" s="43">
        <v>24733</v>
      </c>
      <c r="I70" s="55">
        <v>22679.000000000004</v>
      </c>
      <c r="J70" s="43">
        <v>21800.999999999996</v>
      </c>
      <c r="K70" s="43">
        <v>19823.134880487582</v>
      </c>
      <c r="L70" s="43">
        <v>13972</v>
      </c>
      <c r="M70" s="55">
        <v>10297.792251754172</v>
      </c>
      <c r="N70" s="43">
        <v>9199.4810305394494</v>
      </c>
      <c r="O70" s="43">
        <v>8066.6397973840003</v>
      </c>
      <c r="P70" s="88">
        <v>6856.7404381810593</v>
      </c>
      <c r="Q70" s="88">
        <v>5679.3001186477804</v>
      </c>
      <c r="R70" s="88"/>
      <c r="S70" s="43">
        <f>E70</f>
        <v>37640</v>
      </c>
      <c r="T70" s="43">
        <f>I70</f>
        <v>22679.000000000004</v>
      </c>
      <c r="U70" s="43">
        <f>M70</f>
        <v>10297.792251754172</v>
      </c>
      <c r="V70" s="43">
        <f>Q70</f>
        <v>5679.3001186477804</v>
      </c>
      <c r="W70" s="88"/>
    </row>
    <row r="71" spans="1:23" ht="17.25" customHeight="1">
      <c r="A71" s="15" t="s">
        <v>60</v>
      </c>
      <c r="B71" s="43">
        <v>2907.6550004916576</v>
      </c>
      <c r="C71" s="43">
        <v>3172.1590680561594</v>
      </c>
      <c r="D71" s="43">
        <v>2789.1290870887897</v>
      </c>
      <c r="E71" s="55">
        <v>3542</v>
      </c>
      <c r="F71" s="43">
        <v>3750</v>
      </c>
      <c r="G71" s="43">
        <v>9208</v>
      </c>
      <c r="H71" s="43">
        <v>6598</v>
      </c>
      <c r="I71" s="55">
        <v>4844</v>
      </c>
      <c r="J71" s="43">
        <v>3335</v>
      </c>
      <c r="K71" s="43">
        <v>3135.6534674824802</v>
      </c>
      <c r="L71" s="43">
        <v>3978.8141897548453</v>
      </c>
      <c r="M71" s="55">
        <v>3474.7741898283416</v>
      </c>
      <c r="N71" s="43">
        <v>2890.31086053641</v>
      </c>
      <c r="O71" s="43">
        <v>2903.7895389918012</v>
      </c>
      <c r="P71" s="88">
        <v>2603.9211869128253</v>
      </c>
      <c r="Q71" s="88">
        <v>378.46568833531467</v>
      </c>
      <c r="R71" s="88"/>
      <c r="S71" s="43">
        <f>E71</f>
        <v>3542</v>
      </c>
      <c r="T71" s="43">
        <f>I71</f>
        <v>4844</v>
      </c>
      <c r="U71" s="43">
        <f>M71</f>
        <v>3474.7741898283416</v>
      </c>
      <c r="V71" s="43">
        <f t="shared" ref="V71:V75" si="82">Q71</f>
        <v>378.46568833531467</v>
      </c>
    </row>
    <row r="72" spans="1:23" ht="17.25" customHeight="1">
      <c r="A72" s="15" t="s">
        <v>61</v>
      </c>
      <c r="B72" s="43">
        <v>1949.2811125708629</v>
      </c>
      <c r="C72" s="43">
        <v>1878.4720425105425</v>
      </c>
      <c r="D72" s="43">
        <v>1994.6128000261563</v>
      </c>
      <c r="E72" s="55">
        <v>1993</v>
      </c>
      <c r="F72" s="43">
        <v>2054</v>
      </c>
      <c r="G72" s="43">
        <v>1836</v>
      </c>
      <c r="H72" s="43">
        <v>3770</v>
      </c>
      <c r="I72" s="55">
        <v>1530</v>
      </c>
      <c r="J72" s="43">
        <v>866</v>
      </c>
      <c r="K72" s="43">
        <v>868.25049076418964</v>
      </c>
      <c r="L72" s="43">
        <v>742.17971464428274</v>
      </c>
      <c r="M72" s="55">
        <v>799.35888598504926</v>
      </c>
      <c r="N72" s="43">
        <v>884.96589705168299</v>
      </c>
      <c r="O72" s="43">
        <v>1095.5961317446213</v>
      </c>
      <c r="P72" s="88">
        <v>892.12115198613367</v>
      </c>
      <c r="Q72" s="88">
        <v>861.92604093193779</v>
      </c>
      <c r="R72" s="88"/>
      <c r="S72" s="43">
        <f>E72</f>
        <v>1993</v>
      </c>
      <c r="T72" s="43">
        <f>I72</f>
        <v>1530</v>
      </c>
      <c r="U72" s="43">
        <f>M72</f>
        <v>799.35888598504926</v>
      </c>
      <c r="V72" s="43">
        <f t="shared" si="82"/>
        <v>861.92604093193779</v>
      </c>
    </row>
    <row r="73" spans="1:23" s="44" customFormat="1" ht="17.25" customHeight="1">
      <c r="A73" s="40" t="s">
        <v>62</v>
      </c>
      <c r="B73" s="41">
        <f>SUM(B70:B72)</f>
        <v>42853.986113062521</v>
      </c>
      <c r="C73" s="41">
        <f t="shared" ref="C73:O73" si="83">SUM(C70:C72)</f>
        <v>44357.836176292541</v>
      </c>
      <c r="D73" s="41">
        <f t="shared" si="83"/>
        <v>44049.4082319386</v>
      </c>
      <c r="E73" s="42">
        <f t="shared" si="83"/>
        <v>43175</v>
      </c>
      <c r="F73" s="41">
        <f t="shared" si="83"/>
        <v>41655</v>
      </c>
      <c r="G73" s="41">
        <f t="shared" si="83"/>
        <v>38079</v>
      </c>
      <c r="H73" s="41">
        <f t="shared" si="83"/>
        <v>35101</v>
      </c>
      <c r="I73" s="42">
        <f t="shared" si="83"/>
        <v>29053.000000000004</v>
      </c>
      <c r="J73" s="41">
        <f t="shared" si="83"/>
        <v>26001.999999999996</v>
      </c>
      <c r="K73" s="41">
        <f t="shared" si="83"/>
        <v>23827.03883873425</v>
      </c>
      <c r="L73" s="41">
        <f t="shared" si="83"/>
        <v>18692.993904399129</v>
      </c>
      <c r="M73" s="42">
        <f t="shared" si="83"/>
        <v>14571.925327567564</v>
      </c>
      <c r="N73" s="41">
        <f t="shared" si="83"/>
        <v>12974.757788127543</v>
      </c>
      <c r="O73" s="41">
        <f t="shared" si="83"/>
        <v>12066.025468120422</v>
      </c>
      <c r="P73" s="41">
        <f>SUM(P70:P72)</f>
        <v>10352.782777080018</v>
      </c>
      <c r="Q73" s="41">
        <f>SUM(Q70:Q72)</f>
        <v>6919.6918479150327</v>
      </c>
      <c r="R73" s="41"/>
      <c r="S73" s="41">
        <f>E73</f>
        <v>43175</v>
      </c>
      <c r="T73" s="41">
        <f>I73</f>
        <v>29053.000000000004</v>
      </c>
      <c r="U73" s="41">
        <f>M73</f>
        <v>14571.925327567564</v>
      </c>
      <c r="V73" s="41">
        <f t="shared" si="82"/>
        <v>6919.6918479150327</v>
      </c>
      <c r="W73" s="41"/>
    </row>
    <row r="74" spans="1:23" ht="17.25" customHeight="1">
      <c r="A74" s="15" t="s">
        <v>55</v>
      </c>
      <c r="B74" s="43"/>
      <c r="C74" s="43"/>
      <c r="D74" s="43"/>
      <c r="E74" s="55"/>
      <c r="F74" s="43"/>
      <c r="G74" s="43"/>
      <c r="H74" s="43"/>
      <c r="I74" s="55"/>
      <c r="J74" s="43"/>
      <c r="K74" s="43"/>
      <c r="L74" s="43"/>
      <c r="M74" s="55"/>
      <c r="N74" s="43"/>
      <c r="O74" s="43"/>
      <c r="P74" s="43"/>
      <c r="Q74" s="43"/>
      <c r="R74" s="43"/>
      <c r="S74" s="43"/>
      <c r="T74" s="43"/>
      <c r="U74" s="43"/>
      <c r="V74" s="43"/>
    </row>
    <row r="75" spans="1:23" s="44" customFormat="1" ht="17.25" customHeight="1">
      <c r="A75" s="40" t="s">
        <v>63</v>
      </c>
      <c r="B75" s="41">
        <f>SUM(B73:B74)</f>
        <v>42853.986113062521</v>
      </c>
      <c r="C75" s="41">
        <f t="shared" ref="C75:O75" si="84">SUM(C73:C74)</f>
        <v>44357.836176292541</v>
      </c>
      <c r="D75" s="41">
        <f t="shared" si="84"/>
        <v>44049.4082319386</v>
      </c>
      <c r="E75" s="42">
        <f t="shared" si="84"/>
        <v>43175</v>
      </c>
      <c r="F75" s="41">
        <f t="shared" si="84"/>
        <v>41655</v>
      </c>
      <c r="G75" s="41">
        <f t="shared" si="84"/>
        <v>38079</v>
      </c>
      <c r="H75" s="41">
        <f t="shared" si="84"/>
        <v>35101</v>
      </c>
      <c r="I75" s="42">
        <f t="shared" si="84"/>
        <v>29053.000000000004</v>
      </c>
      <c r="J75" s="41">
        <f t="shared" si="84"/>
        <v>26001.999999999996</v>
      </c>
      <c r="K75" s="41">
        <f t="shared" si="84"/>
        <v>23827.03883873425</v>
      </c>
      <c r="L75" s="41">
        <f t="shared" si="84"/>
        <v>18692.993904399129</v>
      </c>
      <c r="M75" s="42">
        <f t="shared" si="84"/>
        <v>14571.925327567564</v>
      </c>
      <c r="N75" s="41">
        <f t="shared" si="84"/>
        <v>12974.757788127543</v>
      </c>
      <c r="O75" s="41">
        <f t="shared" si="84"/>
        <v>12066.025468120422</v>
      </c>
      <c r="P75" s="41">
        <f t="shared" ref="P75:Q75" si="85">SUM(P73:P74)</f>
        <v>10352.782777080018</v>
      </c>
      <c r="Q75" s="41">
        <f t="shared" si="85"/>
        <v>6919.6918479150327</v>
      </c>
      <c r="R75" s="150"/>
      <c r="S75" s="41">
        <f>E75</f>
        <v>43175</v>
      </c>
      <c r="T75" s="41">
        <f>I75</f>
        <v>29053.000000000004</v>
      </c>
      <c r="U75" s="41">
        <f>M75</f>
        <v>14571.925327567564</v>
      </c>
      <c r="V75" s="41">
        <f t="shared" si="82"/>
        <v>6919.6918479150327</v>
      </c>
    </row>
    <row r="77" spans="1:23" ht="17.25" customHeight="1">
      <c r="A77" s="66" t="s">
        <v>58</v>
      </c>
      <c r="B77" s="67"/>
      <c r="C77" s="67"/>
      <c r="D77" s="67"/>
      <c r="E77" s="68"/>
      <c r="F77" s="67"/>
      <c r="G77" s="67"/>
      <c r="H77" s="67"/>
      <c r="I77" s="68"/>
      <c r="J77" s="67"/>
      <c r="K77" s="67"/>
      <c r="L77" s="67"/>
      <c r="M77" s="68"/>
      <c r="N77" s="67"/>
      <c r="O77" s="67"/>
      <c r="P77" s="69"/>
      <c r="Q77" s="69"/>
      <c r="R77" s="69"/>
      <c r="S77" s="67"/>
      <c r="T77" s="67"/>
      <c r="U77" s="67"/>
      <c r="V77" s="67"/>
    </row>
    <row r="78" spans="1:23" ht="17.25" customHeight="1">
      <c r="A78" s="15" t="s">
        <v>59</v>
      </c>
      <c r="B78" s="43">
        <v>1014.8970150641563</v>
      </c>
      <c r="C78" s="43">
        <v>992.01167741792631</v>
      </c>
      <c r="D78" s="43">
        <v>953</v>
      </c>
      <c r="E78" s="43">
        <v>944.2107055807013</v>
      </c>
      <c r="F78" s="43">
        <v>875.68889505020115</v>
      </c>
      <c r="G78" s="43">
        <v>742</v>
      </c>
      <c r="H78" s="43">
        <v>1256.4716228300517</v>
      </c>
      <c r="I78" s="43">
        <v>1018.3354220364899</v>
      </c>
      <c r="J78" s="43">
        <v>624.33859556328798</v>
      </c>
      <c r="K78" s="43">
        <v>523.53385147574761</v>
      </c>
      <c r="L78" s="43">
        <v>429.80308000000002</v>
      </c>
      <c r="M78" s="43">
        <v>916.26657528004625</v>
      </c>
      <c r="N78" s="43">
        <v>590.62168587113229</v>
      </c>
      <c r="O78" s="43">
        <v>561.25520627570359</v>
      </c>
      <c r="P78" s="43">
        <v>539.11254502711813</v>
      </c>
      <c r="Q78" s="43">
        <v>368.59146950416186</v>
      </c>
      <c r="R78" s="43"/>
      <c r="S78" s="43">
        <f>E78</f>
        <v>944.2107055807013</v>
      </c>
      <c r="T78" s="43">
        <f>I78</f>
        <v>1018.3354220364899</v>
      </c>
      <c r="U78" s="43">
        <f>M78</f>
        <v>916.26657528004625</v>
      </c>
      <c r="V78" s="43">
        <f>Q78</f>
        <v>368.59146950416186</v>
      </c>
    </row>
    <row r="79" spans="1:23" ht="17.25" customHeight="1">
      <c r="A79" s="15" t="s">
        <v>60</v>
      </c>
      <c r="B79" s="43">
        <v>614.43979537122379</v>
      </c>
      <c r="C79" s="43">
        <v>601.75296299668594</v>
      </c>
      <c r="D79" s="43">
        <v>518</v>
      </c>
      <c r="E79" s="43">
        <v>1350.5832880144901</v>
      </c>
      <c r="F79" s="43">
        <v>1637.7530419876962</v>
      </c>
      <c r="G79" s="43">
        <v>3001</v>
      </c>
      <c r="H79" s="43">
        <v>1914.9830000000002</v>
      </c>
      <c r="I79" s="43">
        <v>1341.295746971962</v>
      </c>
      <c r="J79" s="43">
        <v>939.49693637604878</v>
      </c>
      <c r="K79" s="43">
        <v>786.60948626719164</v>
      </c>
      <c r="L79" s="43">
        <v>995.41378742546544</v>
      </c>
      <c r="M79" s="43">
        <v>895.60064618167871</v>
      </c>
      <c r="N79" s="43">
        <v>715.60410366670942</v>
      </c>
      <c r="O79" s="43">
        <v>744.15312343357334</v>
      </c>
      <c r="P79" s="43">
        <v>808.09329873327692</v>
      </c>
      <c r="Q79" s="43">
        <v>101.15763492306529</v>
      </c>
      <c r="R79" s="43"/>
      <c r="S79" s="43">
        <f>E79</f>
        <v>1350.5832880144901</v>
      </c>
      <c r="T79" s="43">
        <f>I79</f>
        <v>1341.295746971962</v>
      </c>
      <c r="U79" s="43">
        <f>M79</f>
        <v>895.60064618167871</v>
      </c>
      <c r="V79" s="43">
        <f t="shared" ref="V79:V81" si="86">Q79</f>
        <v>101.15763492306529</v>
      </c>
    </row>
    <row r="80" spans="1:23" ht="17.25" customHeight="1">
      <c r="A80" s="15" t="s">
        <v>61</v>
      </c>
      <c r="B80" s="43">
        <v>1012.7327048294941</v>
      </c>
      <c r="C80" s="43">
        <v>972.17647087326702</v>
      </c>
      <c r="D80" s="43">
        <v>981</v>
      </c>
      <c r="E80" s="43">
        <v>1157.7476694891998</v>
      </c>
      <c r="F80" s="43">
        <v>1192.7329305161925</v>
      </c>
      <c r="G80" s="43">
        <v>1366</v>
      </c>
      <c r="H80" s="43">
        <v>2721.6975153640369</v>
      </c>
      <c r="I80" s="43">
        <v>846.88615176854216</v>
      </c>
      <c r="J80" s="43">
        <v>490.63900116626223</v>
      </c>
      <c r="K80" s="43">
        <v>487.64646468710976</v>
      </c>
      <c r="L80" s="43">
        <v>531.03715453695202</v>
      </c>
      <c r="M80" s="43">
        <v>704.85031079268504</v>
      </c>
      <c r="N80" s="43">
        <v>705.644343887226</v>
      </c>
      <c r="O80" s="43">
        <v>719.14392101573219</v>
      </c>
      <c r="P80" s="43">
        <v>530.18449639149776</v>
      </c>
      <c r="Q80" s="43">
        <v>258.64599045804272</v>
      </c>
      <c r="R80" s="43"/>
      <c r="S80" s="43">
        <f>E80</f>
        <v>1157.7476694891998</v>
      </c>
      <c r="T80" s="43">
        <f>I80</f>
        <v>846.88615176854216</v>
      </c>
      <c r="U80" s="43">
        <f>M80</f>
        <v>704.85031079268504</v>
      </c>
      <c r="V80" s="43">
        <f t="shared" si="86"/>
        <v>258.64599045804272</v>
      </c>
    </row>
    <row r="81" spans="1:23" s="44" customFormat="1" ht="17.25" customHeight="1">
      <c r="A81" s="40" t="s">
        <v>54</v>
      </c>
      <c r="B81" s="41">
        <f>SUM(B78:B80)</f>
        <v>2642.0695152648741</v>
      </c>
      <c r="C81" s="41">
        <f t="shared" ref="C81:Q81" si="87">SUM(C78:C80)</f>
        <v>2565.9411112878793</v>
      </c>
      <c r="D81" s="41">
        <f t="shared" si="87"/>
        <v>2452</v>
      </c>
      <c r="E81" s="42">
        <f t="shared" si="87"/>
        <v>3452.5416630843911</v>
      </c>
      <c r="F81" s="41">
        <f t="shared" si="87"/>
        <v>3706.1748675540898</v>
      </c>
      <c r="G81" s="41">
        <f t="shared" si="87"/>
        <v>5109</v>
      </c>
      <c r="H81" s="41">
        <f t="shared" si="87"/>
        <v>5893.1521381940893</v>
      </c>
      <c r="I81" s="42">
        <f t="shared" si="87"/>
        <v>3206.5173207769944</v>
      </c>
      <c r="J81" s="41">
        <f t="shared" si="87"/>
        <v>2054.4745331055992</v>
      </c>
      <c r="K81" s="41">
        <f t="shared" si="87"/>
        <v>1797.7898024300491</v>
      </c>
      <c r="L81" s="41">
        <f t="shared" si="87"/>
        <v>1956.2540219624175</v>
      </c>
      <c r="M81" s="42">
        <f t="shared" si="87"/>
        <v>2516.7175322544099</v>
      </c>
      <c r="N81" s="41">
        <f t="shared" si="87"/>
        <v>2011.8701334250677</v>
      </c>
      <c r="O81" s="41">
        <f t="shared" si="87"/>
        <v>2024.5522507250093</v>
      </c>
      <c r="P81" s="41">
        <f t="shared" si="87"/>
        <v>1877.3903401518928</v>
      </c>
      <c r="Q81" s="41">
        <f t="shared" si="87"/>
        <v>728.39509488526983</v>
      </c>
      <c r="R81" s="41"/>
      <c r="S81" s="41">
        <f>E81</f>
        <v>3452.5416630843911</v>
      </c>
      <c r="T81" s="41">
        <f>I81</f>
        <v>3206.5173207769944</v>
      </c>
      <c r="U81" s="41">
        <f>M81</f>
        <v>2516.7175322544099</v>
      </c>
      <c r="V81" s="41">
        <f t="shared" si="86"/>
        <v>728.39509488526983</v>
      </c>
    </row>
    <row r="82" spans="1:23" ht="17.25" customHeight="1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23" ht="17.25" customHeight="1">
      <c r="A83" s="66" t="s">
        <v>64</v>
      </c>
      <c r="B83" s="67"/>
      <c r="C83" s="67"/>
      <c r="D83" s="67"/>
      <c r="E83" s="68"/>
      <c r="F83" s="67"/>
      <c r="G83" s="67"/>
      <c r="H83" s="67"/>
      <c r="I83" s="68"/>
      <c r="J83" s="67"/>
      <c r="K83" s="67"/>
      <c r="L83" s="67"/>
      <c r="M83" s="68"/>
      <c r="N83" s="67"/>
      <c r="O83" s="67"/>
      <c r="P83" s="69"/>
      <c r="Q83" s="69"/>
      <c r="R83" s="69"/>
      <c r="S83" s="67"/>
      <c r="T83" s="67"/>
      <c r="U83" s="67"/>
      <c r="V83" s="67"/>
    </row>
    <row r="84" spans="1:23" ht="17.25" customHeight="1">
      <c r="A84" s="15" t="s">
        <v>59</v>
      </c>
      <c r="B84" s="70">
        <f>B78/B70</f>
        <v>2.6709889716811076E-2</v>
      </c>
      <c r="C84" s="70">
        <f>C78/C70</f>
        <v>2.5237400516245734E-2</v>
      </c>
      <c r="D84" s="70">
        <f>D78/D70</f>
        <v>2.4270567361086768E-2</v>
      </c>
      <c r="E84" s="71">
        <f t="shared" ref="E84:O84" si="88">E78/E70</f>
        <v>2.508530036080503E-2</v>
      </c>
      <c r="F84" s="72">
        <f t="shared" si="88"/>
        <v>2.4425787148202312E-2</v>
      </c>
      <c r="G84" s="72">
        <f t="shared" si="88"/>
        <v>2.7445903458479748E-2</v>
      </c>
      <c r="H84" s="72">
        <f t="shared" si="88"/>
        <v>5.0801424122833935E-2</v>
      </c>
      <c r="I84" s="71">
        <f t="shared" si="88"/>
        <v>4.4902130695202158E-2</v>
      </c>
      <c r="J84" s="72">
        <f t="shared" si="88"/>
        <v>2.8638071444579978E-2</v>
      </c>
      <c r="K84" s="72">
        <f t="shared" si="88"/>
        <v>2.641024513186738E-2</v>
      </c>
      <c r="L84" s="72">
        <f t="shared" si="88"/>
        <v>3.0761743486973948E-2</v>
      </c>
      <c r="M84" s="71">
        <f t="shared" si="88"/>
        <v>8.8976991657990126E-2</v>
      </c>
      <c r="N84" s="72">
        <f t="shared" si="88"/>
        <v>6.4201630930098105E-2</v>
      </c>
      <c r="O84" s="72">
        <f t="shared" si="88"/>
        <v>6.9577323442372857E-2</v>
      </c>
      <c r="P84" s="72">
        <f t="shared" ref="P84:Q84" si="89">P78/P70</f>
        <v>7.8625193688990319E-2</v>
      </c>
      <c r="Q84" s="72">
        <f t="shared" si="89"/>
        <v>6.490086133921763E-2</v>
      </c>
      <c r="R84" s="72"/>
      <c r="S84" s="47">
        <f>E84</f>
        <v>2.508530036080503E-2</v>
      </c>
      <c r="T84" s="47">
        <f>I84</f>
        <v>4.4902130695202158E-2</v>
      </c>
      <c r="U84" s="47">
        <f>M84</f>
        <v>8.8976991657990126E-2</v>
      </c>
      <c r="V84" s="47">
        <f>Q84</f>
        <v>6.490086133921763E-2</v>
      </c>
    </row>
    <row r="85" spans="1:23" ht="17.25" customHeight="1">
      <c r="A85" s="15" t="s">
        <v>60</v>
      </c>
      <c r="B85" s="70">
        <f t="shared" ref="B85:O87" si="90">B79/B71</f>
        <v>0.21131798485973327</v>
      </c>
      <c r="C85" s="70">
        <f t="shared" si="90"/>
        <v>0.18969823079062334</v>
      </c>
      <c r="D85" s="70">
        <f t="shared" si="90"/>
        <v>0.18572105622428292</v>
      </c>
      <c r="E85" s="71">
        <f t="shared" si="90"/>
        <v>0.38130527611928011</v>
      </c>
      <c r="F85" s="72">
        <f t="shared" si="90"/>
        <v>0.43673414453005233</v>
      </c>
      <c r="G85" s="72">
        <f t="shared" si="90"/>
        <v>0.32591225021720244</v>
      </c>
      <c r="H85" s="72">
        <f t="shared" si="90"/>
        <v>0.29023688996665659</v>
      </c>
      <c r="I85" s="71">
        <f t="shared" si="90"/>
        <v>0.27689837881336954</v>
      </c>
      <c r="J85" s="72">
        <f t="shared" si="90"/>
        <v>0.28170822679941493</v>
      </c>
      <c r="K85" s="72">
        <f t="shared" si="90"/>
        <v>0.25085982696255532</v>
      </c>
      <c r="L85" s="72">
        <f t="shared" si="90"/>
        <v>0.25017850544229558</v>
      </c>
      <c r="M85" s="71">
        <f t="shared" si="90"/>
        <v>0.25774355317918446</v>
      </c>
      <c r="N85" s="72">
        <f t="shared" si="90"/>
        <v>0.24758724517746203</v>
      </c>
      <c r="O85" s="72">
        <f t="shared" si="90"/>
        <v>0.25626964814121622</v>
      </c>
      <c r="P85" s="72">
        <f t="shared" ref="P85:Q85" si="91">P79/P71</f>
        <v>0.31033708039809826</v>
      </c>
      <c r="Q85" s="72">
        <f t="shared" si="91"/>
        <v>0.26728350294582376</v>
      </c>
      <c r="R85" s="72"/>
      <c r="S85" s="47">
        <f>E85</f>
        <v>0.38130527611928011</v>
      </c>
      <c r="T85" s="47">
        <f>I85</f>
        <v>0.27689837881336954</v>
      </c>
      <c r="U85" s="47">
        <f>M85</f>
        <v>0.25774355317918446</v>
      </c>
      <c r="V85" s="47">
        <f t="shared" ref="V85:V87" si="92">Q85</f>
        <v>0.26728350294582376</v>
      </c>
    </row>
    <row r="86" spans="1:23" ht="17.25" customHeight="1">
      <c r="A86" s="15" t="s">
        <v>61</v>
      </c>
      <c r="B86" s="70">
        <f t="shared" si="90"/>
        <v>0.51954163937587416</v>
      </c>
      <c r="C86" s="70">
        <f t="shared" si="90"/>
        <v>0.5175357678328667</v>
      </c>
      <c r="D86" s="70">
        <f t="shared" si="90"/>
        <v>0.4918247792188718</v>
      </c>
      <c r="E86" s="71">
        <f t="shared" si="90"/>
        <v>0.58090700927706962</v>
      </c>
      <c r="F86" s="72">
        <f t="shared" si="90"/>
        <v>0.58068789216951922</v>
      </c>
      <c r="G86" s="72">
        <f t="shared" si="90"/>
        <v>0.74400871459694984</v>
      </c>
      <c r="H86" s="72">
        <f t="shared" si="90"/>
        <v>0.72193568046791434</v>
      </c>
      <c r="I86" s="71">
        <f t="shared" si="90"/>
        <v>0.55352036063303411</v>
      </c>
      <c r="J86" s="72">
        <f t="shared" si="90"/>
        <v>0.56655773806727738</v>
      </c>
      <c r="K86" s="72">
        <f t="shared" si="90"/>
        <v>0.5616426018462809</v>
      </c>
      <c r="L86" s="72">
        <f t="shared" si="90"/>
        <v>0.71551019794642512</v>
      </c>
      <c r="M86" s="71">
        <f t="shared" si="90"/>
        <v>0.88176953199700614</v>
      </c>
      <c r="N86" s="72">
        <f t="shared" si="90"/>
        <v>0.79736896781912447</v>
      </c>
      <c r="O86" s="72">
        <f t="shared" si="90"/>
        <v>0.65639508955783854</v>
      </c>
      <c r="P86" s="72">
        <f t="shared" ref="P86:Q86" si="93">P80/P72</f>
        <v>0.59429652038979841</v>
      </c>
      <c r="Q86" s="72">
        <f t="shared" si="93"/>
        <v>0.30007909980117048</v>
      </c>
      <c r="R86" s="72"/>
      <c r="S86" s="47">
        <f>E86</f>
        <v>0.58090700927706962</v>
      </c>
      <c r="T86" s="47">
        <f>I86</f>
        <v>0.55352036063303411</v>
      </c>
      <c r="U86" s="47">
        <f>M86</f>
        <v>0.88176953199700614</v>
      </c>
      <c r="V86" s="47">
        <f t="shared" si="92"/>
        <v>0.30007909980117048</v>
      </c>
    </row>
    <row r="87" spans="1:23" s="44" customFormat="1" ht="17.25" customHeight="1">
      <c r="A87" s="40" t="s">
        <v>65</v>
      </c>
      <c r="B87" s="73">
        <f t="shared" si="90"/>
        <v>6.165282987431437E-2</v>
      </c>
      <c r="C87" s="73">
        <f t="shared" si="90"/>
        <v>5.7846399474717175E-2</v>
      </c>
      <c r="D87" s="73">
        <f t="shared" si="90"/>
        <v>5.5664765962103104E-2</v>
      </c>
      <c r="E87" s="74">
        <f t="shared" si="90"/>
        <v>7.9966222653952312E-2</v>
      </c>
      <c r="F87" s="75">
        <f t="shared" si="90"/>
        <v>8.8973109291899888E-2</v>
      </c>
      <c r="G87" s="75">
        <f t="shared" si="90"/>
        <v>0.13416843929725045</v>
      </c>
      <c r="H87" s="75">
        <f t="shared" si="90"/>
        <v>0.16789128908561263</v>
      </c>
      <c r="I87" s="74">
        <f t="shared" si="90"/>
        <v>0.11036785601407752</v>
      </c>
      <c r="J87" s="75">
        <f t="shared" si="90"/>
        <v>7.9012173413798917E-2</v>
      </c>
      <c r="K87" s="75">
        <f t="shared" si="90"/>
        <v>7.5451667099626557E-2</v>
      </c>
      <c r="L87" s="75">
        <f t="shared" si="90"/>
        <v>0.1046517230983551</v>
      </c>
      <c r="M87" s="74">
        <f t="shared" si="90"/>
        <v>0.17271002120037052</v>
      </c>
      <c r="N87" s="75">
        <f t="shared" si="90"/>
        <v>0.15506032299624234</v>
      </c>
      <c r="O87" s="75">
        <f t="shared" si="90"/>
        <v>0.16778948926256351</v>
      </c>
      <c r="P87" s="75">
        <f t="shared" ref="P87:Q87" si="94">P81/P73</f>
        <v>0.18134161418978473</v>
      </c>
      <c r="Q87" s="75">
        <f t="shared" si="94"/>
        <v>0.10526409425366853</v>
      </c>
      <c r="R87" s="149"/>
      <c r="S87" s="49">
        <f>E87</f>
        <v>7.9966222653952312E-2</v>
      </c>
      <c r="T87" s="49">
        <f>I87</f>
        <v>0.11036785601407752</v>
      </c>
      <c r="U87" s="49">
        <f>M87</f>
        <v>0.17271002120037052</v>
      </c>
      <c r="V87" s="49">
        <f t="shared" si="92"/>
        <v>0.10526409425366853</v>
      </c>
    </row>
    <row r="89" spans="1:23" ht="17.25" customHeight="1">
      <c r="A89" s="20" t="s">
        <v>185</v>
      </c>
      <c r="B89" s="21"/>
      <c r="C89" s="21"/>
      <c r="D89" s="21"/>
      <c r="E89" s="22"/>
      <c r="F89" s="21"/>
      <c r="G89" s="21"/>
      <c r="H89" s="21"/>
      <c r="I89" s="22"/>
      <c r="J89" s="21"/>
      <c r="K89" s="21"/>
      <c r="L89" s="21"/>
      <c r="M89" s="22"/>
      <c r="N89" s="21"/>
      <c r="O89" s="21"/>
      <c r="P89" s="21"/>
      <c r="Q89" s="21"/>
      <c r="R89" s="21"/>
      <c r="S89" s="21"/>
      <c r="T89" s="21"/>
      <c r="U89" s="21"/>
      <c r="V89" s="21"/>
    </row>
    <row r="90" spans="1:23" ht="17.25" customHeight="1">
      <c r="A90" s="66" t="s">
        <v>57</v>
      </c>
      <c r="B90" s="67"/>
      <c r="C90" s="67"/>
      <c r="D90" s="67"/>
      <c r="E90" s="68"/>
      <c r="F90" s="67"/>
      <c r="G90" s="67"/>
      <c r="H90" s="67"/>
      <c r="I90" s="68"/>
      <c r="J90" s="67"/>
      <c r="K90" s="67"/>
      <c r="L90" s="67"/>
      <c r="M90" s="68"/>
      <c r="N90" s="67"/>
      <c r="O90" s="67"/>
      <c r="P90" s="69"/>
      <c r="Q90" s="69"/>
      <c r="R90" s="69"/>
      <c r="S90" s="67"/>
      <c r="T90" s="67"/>
      <c r="U90" s="67"/>
      <c r="V90" s="67"/>
    </row>
    <row r="91" spans="1:23" ht="17.25" customHeight="1">
      <c r="A91" s="15" t="s">
        <v>59</v>
      </c>
      <c r="B91" s="43">
        <v>42030.52976843682</v>
      </c>
      <c r="C91" s="43">
        <v>59167.3173769446</v>
      </c>
      <c r="D91" s="43">
        <v>60195</v>
      </c>
      <c r="E91" s="55">
        <v>55420.4</v>
      </c>
      <c r="F91" s="43">
        <v>54438.361809663496</v>
      </c>
      <c r="G91" s="43">
        <v>48135.017777525005</v>
      </c>
      <c r="H91" s="43">
        <v>49724.982811521157</v>
      </c>
      <c r="I91" s="55">
        <v>54955.848730824662</v>
      </c>
      <c r="J91" s="43">
        <v>56950.369328113768</v>
      </c>
      <c r="K91" s="43">
        <v>59418.541465385533</v>
      </c>
      <c r="L91" s="43">
        <v>58906.193709262181</v>
      </c>
      <c r="M91" s="55">
        <v>60308.096154676292</v>
      </c>
      <c r="N91" s="43">
        <v>61594.154914514445</v>
      </c>
      <c r="O91" s="43">
        <v>64041.289483658969</v>
      </c>
      <c r="P91" s="43">
        <v>66474.097395415956</v>
      </c>
      <c r="Q91" s="43">
        <f>Q48+Q70</f>
        <v>69742.53816326581</v>
      </c>
      <c r="R91" s="43"/>
      <c r="S91" s="43">
        <f t="shared" ref="S91:S96" si="95">E91</f>
        <v>55420.4</v>
      </c>
      <c r="T91" s="43">
        <f t="shared" ref="T91:T96" si="96">I91</f>
        <v>54955.848730824662</v>
      </c>
      <c r="U91" s="43">
        <f t="shared" ref="U91:U96" si="97">M91</f>
        <v>60308.096154676292</v>
      </c>
      <c r="V91" s="43">
        <f>Q91</f>
        <v>69742.53816326581</v>
      </c>
      <c r="W91" s="88"/>
    </row>
    <row r="92" spans="1:23" ht="17.25" customHeight="1">
      <c r="A92" s="15" t="s">
        <v>60</v>
      </c>
      <c r="B92" s="43">
        <v>3121.7539989458337</v>
      </c>
      <c r="C92" s="43">
        <v>5867.7869941504478</v>
      </c>
      <c r="D92" s="43">
        <v>3439</v>
      </c>
      <c r="E92" s="55">
        <v>4072.4</v>
      </c>
      <c r="F92" s="43">
        <v>4445.7595818139698</v>
      </c>
      <c r="G92" s="43">
        <v>10231</v>
      </c>
      <c r="H92" s="43">
        <v>7741.4477573768572</v>
      </c>
      <c r="I92" s="55">
        <v>5552.6498775332902</v>
      </c>
      <c r="J92" s="43">
        <v>4163.6680558053076</v>
      </c>
      <c r="K92" s="43">
        <v>4145.8659939375011</v>
      </c>
      <c r="L92" s="43">
        <v>4945.7224553367942</v>
      </c>
      <c r="M92" s="55">
        <v>4460.8225927946505</v>
      </c>
      <c r="N92" s="43">
        <v>3939.9157994763627</v>
      </c>
      <c r="O92" s="43">
        <v>4085.2339731639722</v>
      </c>
      <c r="P92" s="43">
        <v>3966.7001597077751</v>
      </c>
      <c r="Q92" s="43">
        <f t="shared" ref="Q92:Q96" si="98">Q49+Q71</f>
        <v>1637.2443622353148</v>
      </c>
      <c r="R92" s="43"/>
      <c r="S92" s="43">
        <f t="shared" si="95"/>
        <v>4072.4</v>
      </c>
      <c r="T92" s="43">
        <f t="shared" si="96"/>
        <v>5552.6498775332902</v>
      </c>
      <c r="U92" s="43">
        <f t="shared" si="97"/>
        <v>4460.8225927946505</v>
      </c>
      <c r="V92" s="43">
        <f t="shared" ref="V92:V96" si="99">Q92</f>
        <v>1637.2443622353148</v>
      </c>
      <c r="W92" s="88"/>
    </row>
    <row r="93" spans="1:23" ht="17.25" customHeight="1">
      <c r="A93" s="15" t="s">
        <v>61</v>
      </c>
      <c r="B93" s="43">
        <v>2028.411395378065</v>
      </c>
      <c r="C93" s="43">
        <v>1950.3548514061874</v>
      </c>
      <c r="D93" s="43">
        <v>2158</v>
      </c>
      <c r="E93" s="55">
        <v>2227</v>
      </c>
      <c r="F93" s="43">
        <v>2362.4722012326242</v>
      </c>
      <c r="G93" s="43">
        <v>2210</v>
      </c>
      <c r="H93" s="43">
        <v>4264.4699031672362</v>
      </c>
      <c r="I93" s="55">
        <v>2055.4000637943309</v>
      </c>
      <c r="J93" s="43">
        <v>1483.6774141813664</v>
      </c>
      <c r="K93" s="43">
        <v>1529.4686313591501</v>
      </c>
      <c r="L93" s="43">
        <v>1423.6602777065837</v>
      </c>
      <c r="M93" s="55">
        <v>1429.9200001616102</v>
      </c>
      <c r="N93" s="43">
        <v>1641.3031034658725</v>
      </c>
      <c r="O93" s="43">
        <v>1973.2618542760324</v>
      </c>
      <c r="P93" s="43">
        <v>1902.6250896685924</v>
      </c>
      <c r="Q93" s="43">
        <f t="shared" si="98"/>
        <v>1950.7716545319377</v>
      </c>
      <c r="R93" s="43"/>
      <c r="S93" s="43">
        <f t="shared" si="95"/>
        <v>2227</v>
      </c>
      <c r="T93" s="43">
        <f t="shared" si="96"/>
        <v>2055.4000637943309</v>
      </c>
      <c r="U93" s="43">
        <f t="shared" si="97"/>
        <v>1429.9200001616102</v>
      </c>
      <c r="V93" s="43">
        <f t="shared" si="99"/>
        <v>1950.7716545319377</v>
      </c>
      <c r="W93" s="88"/>
    </row>
    <row r="94" spans="1:23" s="44" customFormat="1" ht="17.25" customHeight="1">
      <c r="A94" s="40" t="s">
        <v>62</v>
      </c>
      <c r="B94" s="41">
        <f>SUM(B91:B93)</f>
        <v>47180.695162760712</v>
      </c>
      <c r="C94" s="41">
        <f t="shared" ref="C94:P94" si="100">SUM(C91:C93)</f>
        <v>66985.459222501231</v>
      </c>
      <c r="D94" s="41">
        <f t="shared" si="100"/>
        <v>65792</v>
      </c>
      <c r="E94" s="42">
        <f t="shared" si="100"/>
        <v>61719.8</v>
      </c>
      <c r="F94" s="41">
        <f t="shared" si="100"/>
        <v>61246.593592710087</v>
      </c>
      <c r="G94" s="41">
        <f t="shared" si="100"/>
        <v>60576.017777525005</v>
      </c>
      <c r="H94" s="41">
        <f t="shared" si="100"/>
        <v>61730.900472065252</v>
      </c>
      <c r="I94" s="42">
        <f t="shared" si="100"/>
        <v>62563.898672152282</v>
      </c>
      <c r="J94" s="41">
        <f t="shared" si="100"/>
        <v>62597.714798100438</v>
      </c>
      <c r="K94" s="41">
        <f t="shared" si="100"/>
        <v>65093.876090682184</v>
      </c>
      <c r="L94" s="41">
        <f t="shared" si="100"/>
        <v>65275.576442305559</v>
      </c>
      <c r="M94" s="42">
        <f t="shared" si="100"/>
        <v>66198.838747632544</v>
      </c>
      <c r="N94" s="41">
        <f t="shared" si="100"/>
        <v>67175.373817456682</v>
      </c>
      <c r="O94" s="41">
        <f t="shared" si="100"/>
        <v>70099.785311098967</v>
      </c>
      <c r="P94" s="41">
        <f t="shared" si="100"/>
        <v>72343.422644792328</v>
      </c>
      <c r="Q94" s="41">
        <f t="shared" si="98"/>
        <v>73330.554180033068</v>
      </c>
      <c r="R94" s="41"/>
      <c r="S94" s="41">
        <f t="shared" si="95"/>
        <v>61719.8</v>
      </c>
      <c r="T94" s="41">
        <f t="shared" si="96"/>
        <v>62563.898672152282</v>
      </c>
      <c r="U94" s="41">
        <f t="shared" si="97"/>
        <v>66198.838747632544</v>
      </c>
      <c r="V94" s="41">
        <f t="shared" si="99"/>
        <v>73330.554180033068</v>
      </c>
      <c r="W94" s="151"/>
    </row>
    <row r="95" spans="1:23" ht="17.25" customHeight="1">
      <c r="A95" s="15" t="s">
        <v>55</v>
      </c>
      <c r="B95" s="43"/>
      <c r="C95" s="43"/>
      <c r="D95" s="43"/>
      <c r="E95" s="55">
        <v>3465</v>
      </c>
      <c r="F95" s="43">
        <v>3343.89</v>
      </c>
      <c r="G95" s="43">
        <v>3204</v>
      </c>
      <c r="H95" s="43">
        <v>3136.5361919675815</v>
      </c>
      <c r="I95" s="55">
        <v>1425.0272973423901</v>
      </c>
      <c r="J95" s="43">
        <v>1340.3074895431048</v>
      </c>
      <c r="K95" s="43">
        <v>1226.7318987881099</v>
      </c>
      <c r="L95" s="43">
        <v>1132.07</v>
      </c>
      <c r="M95" s="55">
        <v>1020.2564411733441</v>
      </c>
      <c r="N95" s="43">
        <v>877.38142156571791</v>
      </c>
      <c r="O95" s="43">
        <v>619.81562294425692</v>
      </c>
      <c r="P95" s="43">
        <v>466.79082318414203</v>
      </c>
      <c r="Q95" s="43">
        <f t="shared" si="98"/>
        <v>354.45718504041491</v>
      </c>
      <c r="R95" s="43"/>
      <c r="S95" s="43">
        <f t="shared" si="95"/>
        <v>3465</v>
      </c>
      <c r="T95" s="43">
        <f t="shared" si="96"/>
        <v>1425.0272973423901</v>
      </c>
      <c r="U95" s="43">
        <f t="shared" si="97"/>
        <v>1020.2564411733441</v>
      </c>
      <c r="V95" s="43">
        <f t="shared" si="99"/>
        <v>354.45718504041491</v>
      </c>
      <c r="W95" s="88"/>
    </row>
    <row r="96" spans="1:23" s="44" customFormat="1" ht="17.25" customHeight="1">
      <c r="A96" s="40" t="s">
        <v>63</v>
      </c>
      <c r="B96" s="41">
        <f>SUM(B94:B95)</f>
        <v>47180.695162760712</v>
      </c>
      <c r="C96" s="41">
        <f t="shared" ref="C96:P96" si="101">SUM(C94:C95)</f>
        <v>66985.459222501231</v>
      </c>
      <c r="D96" s="41">
        <f t="shared" si="101"/>
        <v>65792</v>
      </c>
      <c r="E96" s="42">
        <f t="shared" si="101"/>
        <v>65184.800000000003</v>
      </c>
      <c r="F96" s="41">
        <f t="shared" si="101"/>
        <v>64590.483592710087</v>
      </c>
      <c r="G96" s="41">
        <f t="shared" si="101"/>
        <v>63780.017777525005</v>
      </c>
      <c r="H96" s="41">
        <f t="shared" si="101"/>
        <v>64867.436664032837</v>
      </c>
      <c r="I96" s="42">
        <f t="shared" si="101"/>
        <v>63988.925969494674</v>
      </c>
      <c r="J96" s="41">
        <f t="shared" si="101"/>
        <v>63938.022287643544</v>
      </c>
      <c r="K96" s="41">
        <f t="shared" si="101"/>
        <v>66320.6079894703</v>
      </c>
      <c r="L96" s="41">
        <f t="shared" si="101"/>
        <v>66407.646442305559</v>
      </c>
      <c r="M96" s="42">
        <f t="shared" si="101"/>
        <v>67219.095188805892</v>
      </c>
      <c r="N96" s="41">
        <f t="shared" si="101"/>
        <v>68052.755239022401</v>
      </c>
      <c r="O96" s="41">
        <f t="shared" si="101"/>
        <v>70719.600934043221</v>
      </c>
      <c r="P96" s="41">
        <f t="shared" si="101"/>
        <v>72810.213467976471</v>
      </c>
      <c r="Q96" s="41">
        <f t="shared" si="98"/>
        <v>73685.011365073486</v>
      </c>
      <c r="R96" s="41"/>
      <c r="S96" s="41">
        <f t="shared" si="95"/>
        <v>65184.800000000003</v>
      </c>
      <c r="T96" s="41">
        <f t="shared" si="96"/>
        <v>63988.925969494674</v>
      </c>
      <c r="U96" s="41">
        <f t="shared" si="97"/>
        <v>67219.095188805892</v>
      </c>
      <c r="V96" s="41">
        <f t="shared" si="99"/>
        <v>73685.011365073486</v>
      </c>
      <c r="W96" s="151"/>
    </row>
    <row r="97" spans="1:23" ht="17.25" customHeight="1">
      <c r="P97" s="43"/>
      <c r="Q97" s="43"/>
      <c r="R97" s="43"/>
      <c r="W97" s="88"/>
    </row>
    <row r="98" spans="1:23" ht="17.25" customHeight="1">
      <c r="A98" s="66" t="s">
        <v>58</v>
      </c>
      <c r="B98" s="67"/>
      <c r="C98" s="67"/>
      <c r="D98" s="67"/>
      <c r="E98" s="68"/>
      <c r="F98" s="67"/>
      <c r="G98" s="67"/>
      <c r="H98" s="67"/>
      <c r="I98" s="68"/>
      <c r="J98" s="67"/>
      <c r="K98" s="67"/>
      <c r="L98" s="67"/>
      <c r="M98" s="68"/>
      <c r="N98" s="67"/>
      <c r="O98" s="67"/>
      <c r="P98" s="69"/>
      <c r="Q98" s="69"/>
      <c r="R98" s="69"/>
      <c r="S98" s="67"/>
      <c r="T98" s="67"/>
      <c r="U98" s="67"/>
      <c r="V98" s="67"/>
      <c r="W98" s="88"/>
    </row>
    <row r="99" spans="1:23" ht="17.25" customHeight="1">
      <c r="A99" s="15" t="s">
        <v>59</v>
      </c>
      <c r="B99" s="43">
        <v>1081.9261837333547</v>
      </c>
      <c r="C99" s="43">
        <v>1063.6038853536816</v>
      </c>
      <c r="D99" s="43">
        <v>1076</v>
      </c>
      <c r="E99" s="55">
        <v>1126</v>
      </c>
      <c r="F99" s="43">
        <v>1059.4438897638547</v>
      </c>
      <c r="G99" s="43">
        <v>977.84370409098563</v>
      </c>
      <c r="H99" s="43">
        <v>1658.5330759077319</v>
      </c>
      <c r="I99" s="55">
        <v>1571.138532845589</v>
      </c>
      <c r="J99" s="43">
        <v>1148.7579603027266</v>
      </c>
      <c r="K99" s="43">
        <v>1110.8439867579357</v>
      </c>
      <c r="L99" s="43">
        <v>1052.3584796811183</v>
      </c>
      <c r="M99" s="55">
        <v>1566.651101526561</v>
      </c>
      <c r="N99" s="43">
        <v>1173.502745617775</v>
      </c>
      <c r="O99" s="43">
        <v>1182.8203510788903</v>
      </c>
      <c r="P99" s="43">
        <v>1210.0740659581822</v>
      </c>
      <c r="Q99" s="43">
        <f>Q56+Q78</f>
        <v>1094.8649419532583</v>
      </c>
      <c r="R99" s="43"/>
      <c r="S99" s="43">
        <f>E99</f>
        <v>1126</v>
      </c>
      <c r="T99" s="43">
        <f>I99</f>
        <v>1571.138532845589</v>
      </c>
      <c r="U99" s="43">
        <f>M99</f>
        <v>1566.651101526561</v>
      </c>
      <c r="V99" s="43">
        <f>Q99</f>
        <v>1094.8649419532583</v>
      </c>
      <c r="W99" s="88"/>
    </row>
    <row r="100" spans="1:23" ht="17.25" customHeight="1">
      <c r="A100" s="15" t="s">
        <v>60</v>
      </c>
      <c r="B100" s="43">
        <v>627.57242337957598</v>
      </c>
      <c r="C100" s="43">
        <v>618.43394855656186</v>
      </c>
      <c r="D100" s="43">
        <v>544</v>
      </c>
      <c r="E100" s="55">
        <v>1380</v>
      </c>
      <c r="F100" s="43">
        <v>1667.1165495423604</v>
      </c>
      <c r="G100" s="43">
        <v>3038.7269753096375</v>
      </c>
      <c r="H100" s="43">
        <v>1960.11020588207</v>
      </c>
      <c r="I100" s="55">
        <v>1375.1314900048412</v>
      </c>
      <c r="J100" s="43">
        <v>967.06394710414452</v>
      </c>
      <c r="K100" s="43">
        <v>843.21300486784844</v>
      </c>
      <c r="L100" s="43">
        <v>1027.4585761131566</v>
      </c>
      <c r="M100" s="55">
        <v>927.84046784625798</v>
      </c>
      <c r="N100" s="43">
        <v>839.07824597775902</v>
      </c>
      <c r="O100" s="43">
        <v>880.44998336094579</v>
      </c>
      <c r="P100" s="43">
        <v>954.14148271427689</v>
      </c>
      <c r="Q100" s="43">
        <f t="shared" ref="Q100:Q102" si="102">Q57+Q79</f>
        <v>250.36899355206538</v>
      </c>
      <c r="R100" s="43"/>
      <c r="S100" s="43">
        <f>E100</f>
        <v>1380</v>
      </c>
      <c r="T100" s="43">
        <f>I100</f>
        <v>1375.1314900048412</v>
      </c>
      <c r="U100" s="43">
        <f>M100</f>
        <v>927.84046784625798</v>
      </c>
      <c r="V100" s="43">
        <f t="shared" ref="V100:V102" si="103">Q100</f>
        <v>250.36899355206538</v>
      </c>
      <c r="W100" s="88"/>
    </row>
    <row r="101" spans="1:23" ht="17.25" customHeight="1">
      <c r="A101" s="15" t="s">
        <v>61</v>
      </c>
      <c r="B101" s="43">
        <v>1038.8866872916799</v>
      </c>
      <c r="C101" s="43">
        <v>1001.0523167794238</v>
      </c>
      <c r="D101" s="43">
        <v>1035</v>
      </c>
      <c r="E101" s="55">
        <v>1229</v>
      </c>
      <c r="F101" s="43">
        <v>1281.7979441912025</v>
      </c>
      <c r="G101" s="43">
        <v>1474.5602746183692</v>
      </c>
      <c r="H101" s="43">
        <v>2866.5790534127505</v>
      </c>
      <c r="I101" s="55">
        <v>1017.4896799221775</v>
      </c>
      <c r="J101" s="43">
        <v>711.99397369657004</v>
      </c>
      <c r="K101" s="43">
        <v>712.43524012341504</v>
      </c>
      <c r="L101" s="43">
        <v>779.16523651937996</v>
      </c>
      <c r="M101" s="55">
        <v>934.43858230792807</v>
      </c>
      <c r="N101" s="43">
        <v>984.42475679683912</v>
      </c>
      <c r="O101" s="43">
        <v>1055.0487376984661</v>
      </c>
      <c r="P101" s="43">
        <v>937.57777404749777</v>
      </c>
      <c r="Q101" s="43">
        <f t="shared" si="102"/>
        <v>696.84599552104282</v>
      </c>
      <c r="R101" s="43"/>
      <c r="S101" s="43">
        <f>E101</f>
        <v>1229</v>
      </c>
      <c r="T101" s="43">
        <f>I101</f>
        <v>1017.4896799221775</v>
      </c>
      <c r="U101" s="43">
        <f>M101</f>
        <v>934.43858230792807</v>
      </c>
      <c r="V101" s="43">
        <f t="shared" si="103"/>
        <v>696.84599552104282</v>
      </c>
      <c r="W101" s="88"/>
    </row>
    <row r="102" spans="1:23" s="44" customFormat="1" ht="17.25" customHeight="1">
      <c r="A102" s="40" t="s">
        <v>54</v>
      </c>
      <c r="B102" s="41">
        <f>SUM(B99:B101)</f>
        <v>2748.3852944046102</v>
      </c>
      <c r="C102" s="41">
        <f t="shared" ref="C102:P102" si="104">SUM(C99:C101)</f>
        <v>2683.0901506896671</v>
      </c>
      <c r="D102" s="41">
        <f t="shared" si="104"/>
        <v>2655</v>
      </c>
      <c r="E102" s="42">
        <f t="shared" si="104"/>
        <v>3735</v>
      </c>
      <c r="F102" s="41">
        <f t="shared" si="104"/>
        <v>4008.3583834974174</v>
      </c>
      <c r="G102" s="41">
        <f t="shared" si="104"/>
        <v>5491.1309540189923</v>
      </c>
      <c r="H102" s="41">
        <f t="shared" si="104"/>
        <v>6485.2223352025521</v>
      </c>
      <c r="I102" s="42">
        <f t="shared" si="104"/>
        <v>3963.7597027726074</v>
      </c>
      <c r="J102" s="41">
        <f t="shared" si="104"/>
        <v>2827.8158811034409</v>
      </c>
      <c r="K102" s="41">
        <f t="shared" si="104"/>
        <v>2666.4922317491992</v>
      </c>
      <c r="L102" s="41">
        <f t="shared" si="104"/>
        <v>2858.9822923136549</v>
      </c>
      <c r="M102" s="42">
        <f t="shared" si="104"/>
        <v>3428.9301516807473</v>
      </c>
      <c r="N102" s="41">
        <f t="shared" si="104"/>
        <v>2997.0057483923729</v>
      </c>
      <c r="O102" s="41">
        <f t="shared" si="104"/>
        <v>3118.3190721383021</v>
      </c>
      <c r="P102" s="41">
        <f t="shared" si="104"/>
        <v>3101.7933227199569</v>
      </c>
      <c r="Q102" s="41">
        <f t="shared" si="102"/>
        <v>2042.0799310263665</v>
      </c>
      <c r="R102" s="41"/>
      <c r="S102" s="41">
        <f>E102</f>
        <v>3735</v>
      </c>
      <c r="T102" s="41">
        <f>I102</f>
        <v>3963.7597027726074</v>
      </c>
      <c r="U102" s="41">
        <f>M102</f>
        <v>3428.9301516807473</v>
      </c>
      <c r="V102" s="41">
        <f t="shared" si="103"/>
        <v>2042.0799310263665</v>
      </c>
      <c r="W102" s="151"/>
    </row>
    <row r="103" spans="1:23" ht="17.25" customHeight="1">
      <c r="W103" s="88"/>
    </row>
    <row r="104" spans="1:23" ht="17.25" customHeight="1">
      <c r="A104" s="66" t="s">
        <v>64</v>
      </c>
      <c r="B104" s="67"/>
      <c r="C104" s="67"/>
      <c r="D104" s="67"/>
      <c r="E104" s="68"/>
      <c r="F104" s="67"/>
      <c r="G104" s="67"/>
      <c r="H104" s="67"/>
      <c r="I104" s="68"/>
      <c r="J104" s="67"/>
      <c r="K104" s="67"/>
      <c r="L104" s="67"/>
      <c r="M104" s="68"/>
      <c r="N104" s="67"/>
      <c r="O104" s="67"/>
      <c r="P104" s="69"/>
      <c r="Q104" s="69"/>
      <c r="R104" s="69"/>
      <c r="S104" s="67"/>
      <c r="T104" s="67"/>
      <c r="U104" s="67"/>
      <c r="V104" s="67"/>
      <c r="W104" s="88"/>
    </row>
    <row r="105" spans="1:23" ht="17.25" customHeight="1">
      <c r="A105" s="15" t="s">
        <v>59</v>
      </c>
      <c r="B105" s="70">
        <f>B99/B91</f>
        <v>2.5741435801407298E-2</v>
      </c>
      <c r="C105" s="70">
        <f>C99/C91</f>
        <v>1.7976205995239698E-2</v>
      </c>
      <c r="D105" s="70">
        <f>D99/D91</f>
        <v>1.7875238807209901E-2</v>
      </c>
      <c r="E105" s="71">
        <f t="shared" ref="E105:O105" si="105">E99/E91</f>
        <v>2.0317428239420864E-2</v>
      </c>
      <c r="F105" s="72">
        <f t="shared" si="105"/>
        <v>1.9461347743491245E-2</v>
      </c>
      <c r="G105" s="72">
        <f t="shared" si="105"/>
        <v>2.0314601494705507E-2</v>
      </c>
      <c r="H105" s="72">
        <f t="shared" si="105"/>
        <v>3.3354120647849754E-2</v>
      </c>
      <c r="I105" s="71">
        <f t="shared" si="105"/>
        <v>2.8589105056698715E-2</v>
      </c>
      <c r="J105" s="72">
        <f t="shared" si="105"/>
        <v>2.0171211773610708E-2</v>
      </c>
      <c r="K105" s="72">
        <f t="shared" si="105"/>
        <v>1.8695241575477941E-2</v>
      </c>
      <c r="L105" s="72">
        <f t="shared" si="105"/>
        <v>1.786498861011367E-2</v>
      </c>
      <c r="M105" s="71">
        <f t="shared" si="105"/>
        <v>2.5977459104470219E-2</v>
      </c>
      <c r="N105" s="72">
        <f t="shared" si="105"/>
        <v>1.9052177065282588E-2</v>
      </c>
      <c r="O105" s="72">
        <f t="shared" si="105"/>
        <v>1.8469652322986148E-2</v>
      </c>
      <c r="P105" s="72">
        <f t="shared" ref="P105:Q105" si="106">P99/P91</f>
        <v>1.8203693067995366E-2</v>
      </c>
      <c r="Q105" s="72">
        <f t="shared" si="106"/>
        <v>1.5698667854476454E-2</v>
      </c>
      <c r="R105" s="72"/>
      <c r="S105" s="47">
        <f>E105</f>
        <v>2.0317428239420864E-2</v>
      </c>
      <c r="T105" s="47">
        <f>I105</f>
        <v>2.8589105056698715E-2</v>
      </c>
      <c r="U105" s="47">
        <f>M105</f>
        <v>2.5977459104470219E-2</v>
      </c>
      <c r="V105" s="47">
        <f>Q105</f>
        <v>1.5698667854476454E-2</v>
      </c>
      <c r="W105" s="72"/>
    </row>
    <row r="106" spans="1:23" ht="17.25" customHeight="1">
      <c r="A106" s="15" t="s">
        <v>59</v>
      </c>
      <c r="B106" s="70">
        <f t="shared" ref="B106:O108" si="107">B100/B92</f>
        <v>0.20103199149948944</v>
      </c>
      <c r="C106" s="70">
        <f t="shared" si="107"/>
        <v>0.10539475089553761</v>
      </c>
      <c r="D106" s="70">
        <f t="shared" si="107"/>
        <v>0.15818551904623437</v>
      </c>
      <c r="E106" s="71">
        <f t="shared" si="107"/>
        <v>0.33886651605932616</v>
      </c>
      <c r="F106" s="72">
        <f t="shared" si="107"/>
        <v>0.37499026181306444</v>
      </c>
      <c r="G106" s="72">
        <f t="shared" si="107"/>
        <v>0.29701172664545378</v>
      </c>
      <c r="H106" s="72">
        <f t="shared" si="107"/>
        <v>0.25319685248980373</v>
      </c>
      <c r="I106" s="71">
        <f t="shared" si="107"/>
        <v>0.24765319628179577</v>
      </c>
      <c r="J106" s="72">
        <f t="shared" si="107"/>
        <v>0.23226249886942579</v>
      </c>
      <c r="K106" s="72">
        <f t="shared" si="107"/>
        <v>0.20338645921042278</v>
      </c>
      <c r="L106" s="72">
        <f t="shared" si="107"/>
        <v>0.20774691370003062</v>
      </c>
      <c r="M106" s="71">
        <f t="shared" si="107"/>
        <v>0.20799761670525824</v>
      </c>
      <c r="N106" s="72">
        <f t="shared" si="107"/>
        <v>0.21296857310739414</v>
      </c>
      <c r="O106" s="72">
        <f t="shared" si="107"/>
        <v>0.21552008750163365</v>
      </c>
      <c r="P106" s="72">
        <f t="shared" ref="P106:Q106" si="108">P100/P92</f>
        <v>0.24053783858081373</v>
      </c>
      <c r="Q106" s="72">
        <f t="shared" si="108"/>
        <v>0.15292096850481066</v>
      </c>
      <c r="R106" s="72"/>
      <c r="S106" s="47">
        <f>E106</f>
        <v>0.33886651605932616</v>
      </c>
      <c r="T106" s="47">
        <f>I106</f>
        <v>0.24765319628179577</v>
      </c>
      <c r="U106" s="47">
        <f>M106</f>
        <v>0.20799761670525824</v>
      </c>
      <c r="V106" s="47">
        <f t="shared" ref="V106:V108" si="109">Q106</f>
        <v>0.15292096850481066</v>
      </c>
      <c r="W106" s="72"/>
    </row>
    <row r="107" spans="1:23" ht="17.25" customHeight="1">
      <c r="A107" s="15" t="s">
        <v>61</v>
      </c>
      <c r="B107" s="70">
        <f t="shared" si="107"/>
        <v>0.51216764491605871</v>
      </c>
      <c r="C107" s="70">
        <f t="shared" si="107"/>
        <v>0.51326676069109911</v>
      </c>
      <c r="D107" s="70">
        <f t="shared" si="107"/>
        <v>0.47961075069508802</v>
      </c>
      <c r="E107" s="71">
        <f t="shared" si="107"/>
        <v>0.55186349348899866</v>
      </c>
      <c r="F107" s="72">
        <f t="shared" si="107"/>
        <v>0.54256636057872853</v>
      </c>
      <c r="G107" s="72">
        <f t="shared" si="107"/>
        <v>0.66722184371871907</v>
      </c>
      <c r="H107" s="72">
        <f t="shared" si="107"/>
        <v>0.67220055915595334</v>
      </c>
      <c r="I107" s="71">
        <f t="shared" si="107"/>
        <v>0.49503242597154573</v>
      </c>
      <c r="J107" s="72">
        <f t="shared" si="107"/>
        <v>0.47988462107136659</v>
      </c>
      <c r="K107" s="72">
        <f t="shared" si="107"/>
        <v>0.46580572201099357</v>
      </c>
      <c r="L107" s="72">
        <f t="shared" si="107"/>
        <v>0.54729716683151419</v>
      </c>
      <c r="M107" s="71">
        <f t="shared" si="107"/>
        <v>0.65349011287506809</v>
      </c>
      <c r="N107" s="72">
        <f t="shared" si="107"/>
        <v>0.59978242575552909</v>
      </c>
      <c r="O107" s="72">
        <f t="shared" si="107"/>
        <v>0.5346724437064394</v>
      </c>
      <c r="P107" s="72">
        <f t="shared" ref="P107:Q107" si="110">P101/P93</f>
        <v>0.4927811470260855</v>
      </c>
      <c r="Q107" s="72">
        <f t="shared" si="110"/>
        <v>0.35721556333985283</v>
      </c>
      <c r="R107" s="72"/>
      <c r="S107" s="47">
        <f>E107</f>
        <v>0.55186349348899866</v>
      </c>
      <c r="T107" s="47">
        <f>I107</f>
        <v>0.49503242597154573</v>
      </c>
      <c r="U107" s="47">
        <f>M107</f>
        <v>0.65349011287506809</v>
      </c>
      <c r="V107" s="47">
        <f t="shared" si="109"/>
        <v>0.35721556333985283</v>
      </c>
      <c r="W107" s="72"/>
    </row>
    <row r="108" spans="1:23" s="44" customFormat="1" ht="17.25" customHeight="1">
      <c r="A108" s="40" t="s">
        <v>65</v>
      </c>
      <c r="B108" s="73">
        <f t="shared" si="107"/>
        <v>5.8252327247901289E-2</v>
      </c>
      <c r="C108" s="73">
        <f t="shared" si="107"/>
        <v>4.0054814609502359E-2</v>
      </c>
      <c r="D108" s="73">
        <f t="shared" si="107"/>
        <v>4.0354450389105061E-2</v>
      </c>
      <c r="E108" s="74">
        <f t="shared" si="107"/>
        <v>6.0515426167939618E-2</v>
      </c>
      <c r="F108" s="75">
        <f t="shared" si="107"/>
        <v>6.5446225632612404E-2</v>
      </c>
      <c r="G108" s="75">
        <f t="shared" si="107"/>
        <v>9.0648595854980737E-2</v>
      </c>
      <c r="H108" s="75">
        <f t="shared" si="107"/>
        <v>0.10505633784067793</v>
      </c>
      <c r="I108" s="74">
        <f t="shared" si="107"/>
        <v>6.3355382047776868E-2</v>
      </c>
      <c r="J108" s="75">
        <f t="shared" si="107"/>
        <v>4.5174426737847183E-2</v>
      </c>
      <c r="K108" s="75">
        <f t="shared" si="107"/>
        <v>4.0963795550206794E-2</v>
      </c>
      <c r="L108" s="75">
        <f t="shared" si="107"/>
        <v>4.379865254565149E-2</v>
      </c>
      <c r="M108" s="74">
        <f t="shared" si="107"/>
        <v>5.1797436579707E-2</v>
      </c>
      <c r="N108" s="75">
        <f t="shared" si="107"/>
        <v>4.4614649358505676E-2</v>
      </c>
      <c r="O108" s="75">
        <f t="shared" si="107"/>
        <v>4.4484003172040751E-2</v>
      </c>
      <c r="P108" s="75">
        <f t="shared" ref="P108:Q108" si="111">P102/P94</f>
        <v>4.2875954845955036E-2</v>
      </c>
      <c r="Q108" s="75">
        <f t="shared" si="111"/>
        <v>2.7847599869665209E-2</v>
      </c>
      <c r="R108" s="75"/>
      <c r="S108" s="49">
        <f>E108</f>
        <v>6.0515426167939618E-2</v>
      </c>
      <c r="T108" s="49">
        <f>I108</f>
        <v>6.3355382047776868E-2</v>
      </c>
      <c r="U108" s="49">
        <f>M108</f>
        <v>5.1797436579707E-2</v>
      </c>
      <c r="V108" s="49">
        <f t="shared" si="109"/>
        <v>2.7847599869665209E-2</v>
      </c>
      <c r="W108" s="75"/>
    </row>
    <row r="110" spans="1:23" ht="17.25" customHeight="1">
      <c r="A110" s="24" t="s">
        <v>66</v>
      </c>
      <c r="B110" s="25"/>
      <c r="C110" s="25"/>
      <c r="D110" s="25"/>
      <c r="E110" s="26"/>
      <c r="F110" s="25"/>
      <c r="G110" s="25"/>
      <c r="H110" s="25"/>
      <c r="I110" s="26"/>
      <c r="J110" s="25"/>
      <c r="K110" s="25"/>
      <c r="L110" s="25"/>
      <c r="M110" s="26"/>
      <c r="N110" s="25"/>
      <c r="O110" s="25"/>
      <c r="P110" s="27"/>
      <c r="Q110" s="27"/>
      <c r="R110" s="27"/>
      <c r="S110" s="25"/>
      <c r="T110" s="25"/>
      <c r="U110" s="25"/>
      <c r="V110" s="25"/>
    </row>
    <row r="111" spans="1:23" ht="17.25" customHeight="1">
      <c r="A111" s="15" t="s">
        <v>67</v>
      </c>
      <c r="B111" s="70">
        <v>4.2992450742035143E-2</v>
      </c>
      <c r="C111" s="70">
        <v>2.9116145432746671E-2</v>
      </c>
      <c r="D111" s="70">
        <v>3.3000000000000002E-2</v>
      </c>
      <c r="E111" s="71">
        <v>3.4164499339926414E-2</v>
      </c>
      <c r="F111" s="72">
        <v>3.6576165231573289E-2</v>
      </c>
      <c r="G111" s="72">
        <v>3.6868070659381462E-2</v>
      </c>
      <c r="H111" s="72">
        <v>3.9947112369264147E-2</v>
      </c>
      <c r="I111" s="71">
        <v>3.7599827288243994E-2</v>
      </c>
      <c r="J111" s="72">
        <v>2.7925281512446803E-2</v>
      </c>
      <c r="K111" s="72">
        <v>2.7444500323299089E-2</v>
      </c>
      <c r="L111" s="72">
        <v>2.4131503135061853E-2</v>
      </c>
      <c r="M111" s="71">
        <v>2.371436626258271E-2</v>
      </c>
      <c r="N111" s="72">
        <v>2.6659312373598084E-2</v>
      </c>
      <c r="O111" s="72">
        <v>3.0758917435769518E-2</v>
      </c>
      <c r="P111" s="72">
        <v>2.8299999999999999E-2</v>
      </c>
      <c r="Q111" s="72">
        <v>2.8000000000000001E-2</v>
      </c>
      <c r="S111" s="47">
        <f>E111</f>
        <v>3.4164499339926414E-2</v>
      </c>
      <c r="T111" s="47">
        <f>I111</f>
        <v>3.7599827288243994E-2</v>
      </c>
      <c r="U111" s="47">
        <f>M111</f>
        <v>2.371436626258271E-2</v>
      </c>
      <c r="V111" s="47">
        <f>Q111</f>
        <v>2.8000000000000001E-2</v>
      </c>
    </row>
    <row r="112" spans="1:23" ht="17.25" customHeight="1">
      <c r="A112" s="15" t="s">
        <v>68</v>
      </c>
      <c r="B112" s="70">
        <v>2.2270499949156922E-2</v>
      </c>
      <c r="C112" s="70">
        <v>1.4763999139559029E-2</v>
      </c>
      <c r="D112" s="70">
        <v>1.7999999999999999E-2</v>
      </c>
      <c r="E112" s="71">
        <v>1.6236961713518207E-2</v>
      </c>
      <c r="F112" s="72">
        <v>1.7838101046439757E-2</v>
      </c>
      <c r="G112" s="72">
        <v>1.2579435972528211E-2</v>
      </c>
      <c r="H112" s="72">
        <v>1.6885679831873987E-2</v>
      </c>
      <c r="I112" s="71">
        <v>1.9346826091418984E-2</v>
      </c>
      <c r="J112" s="72">
        <v>1.4715425430392793E-2</v>
      </c>
      <c r="K112" s="72">
        <v>1.4846081071246634E-2</v>
      </c>
      <c r="L112" s="72">
        <v>1.1076574333258917E-2</v>
      </c>
      <c r="M112" s="71">
        <v>8.3548099112301447E-3</v>
      </c>
      <c r="N112" s="72">
        <v>1.0845886733356239E-2</v>
      </c>
      <c r="O112" s="72">
        <v>1.4550872576835898E-2</v>
      </c>
      <c r="P112" s="72">
        <v>1.4500000000000001E-2</v>
      </c>
      <c r="Q112" s="72">
        <v>1.9E-2</v>
      </c>
      <c r="S112" s="47">
        <f>E112</f>
        <v>1.6236961713518207E-2</v>
      </c>
      <c r="T112" s="47">
        <f>I112</f>
        <v>1.9346826091418984E-2</v>
      </c>
      <c r="U112" s="47">
        <f>M112</f>
        <v>8.3548099112301447E-3</v>
      </c>
      <c r="V112" s="47">
        <f>Q112</f>
        <v>1.9E-2</v>
      </c>
    </row>
    <row r="114" spans="1:22" ht="17.25" customHeight="1">
      <c r="A114" s="24" t="s">
        <v>232</v>
      </c>
      <c r="B114" s="25"/>
      <c r="C114" s="25"/>
      <c r="D114" s="25"/>
      <c r="E114" s="26"/>
      <c r="F114" s="25"/>
      <c r="G114" s="25"/>
      <c r="H114" s="25"/>
      <c r="I114" s="26"/>
      <c r="J114" s="25"/>
      <c r="K114" s="25"/>
      <c r="L114" s="25"/>
      <c r="M114" s="26"/>
      <c r="N114" s="25"/>
      <c r="O114" s="25"/>
      <c r="P114" s="27"/>
      <c r="Q114" s="27"/>
      <c r="R114" s="27"/>
      <c r="S114" s="25"/>
      <c r="T114" s="25"/>
      <c r="U114" s="25"/>
      <c r="V114" s="25"/>
    </row>
    <row r="115" spans="1:22" ht="17.25" customHeight="1">
      <c r="A115" s="40" t="s">
        <v>239</v>
      </c>
      <c r="B115" s="41">
        <f t="shared" ref="B115:Q115" si="112">B11</f>
        <v>4326.7090496981946</v>
      </c>
      <c r="C115" s="41">
        <f t="shared" si="112"/>
        <v>22577.618111934535</v>
      </c>
      <c r="D115" s="41">
        <f t="shared" si="112"/>
        <v>21543.591768061404</v>
      </c>
      <c r="E115" s="41">
        <f t="shared" si="112"/>
        <v>21551.675080579033</v>
      </c>
      <c r="F115" s="41">
        <f t="shared" si="112"/>
        <v>22266.48359271009</v>
      </c>
      <c r="G115" s="41">
        <f t="shared" si="112"/>
        <v>24872.017777525005</v>
      </c>
      <c r="H115" s="41">
        <f t="shared" si="112"/>
        <v>27896.178706692004</v>
      </c>
      <c r="I115" s="41">
        <f t="shared" si="112"/>
        <v>32144.294986173307</v>
      </c>
      <c r="J115" s="41">
        <f t="shared" si="112"/>
        <v>34890.811804454635</v>
      </c>
      <c r="K115" s="41">
        <f t="shared" si="112"/>
        <v>37992.294052483769</v>
      </c>
      <c r="L115" s="41">
        <f t="shared" si="112"/>
        <v>42152.840282440346</v>
      </c>
      <c r="M115" s="41">
        <f t="shared" si="112"/>
        <v>46300.587526545984</v>
      </c>
      <c r="N115" s="41">
        <f t="shared" si="112"/>
        <v>48007.26492366763</v>
      </c>
      <c r="O115" s="41">
        <f t="shared" si="112"/>
        <v>50764.490679703777</v>
      </c>
      <c r="P115" s="41">
        <f t="shared" si="112"/>
        <v>53541.672797245104</v>
      </c>
      <c r="Q115" s="41">
        <f t="shared" si="112"/>
        <v>57648.478492524329</v>
      </c>
      <c r="S115" s="41">
        <f>E115</f>
        <v>21551.675080579033</v>
      </c>
      <c r="T115" s="41">
        <f>I115</f>
        <v>32144.294986173307</v>
      </c>
      <c r="U115" s="41">
        <f>M115</f>
        <v>46300.587526545984</v>
      </c>
      <c r="V115" s="41">
        <f>Q115</f>
        <v>57648.478492524329</v>
      </c>
    </row>
    <row r="116" spans="1:22" ht="17.25" customHeight="1">
      <c r="A116" s="15" t="s">
        <v>230</v>
      </c>
      <c r="J116" s="43">
        <v>328</v>
      </c>
      <c r="K116" s="43">
        <v>612</v>
      </c>
      <c r="L116" s="43">
        <v>875</v>
      </c>
      <c r="M116" s="43">
        <v>1598</v>
      </c>
      <c r="N116" s="43">
        <v>2408</v>
      </c>
      <c r="O116" s="43">
        <v>3686</v>
      </c>
      <c r="P116" s="88">
        <v>4958.7466235796492</v>
      </c>
      <c r="Q116" s="88">
        <v>6071</v>
      </c>
      <c r="S116" s="43">
        <f>E116</f>
        <v>0</v>
      </c>
      <c r="T116" s="43">
        <f>I116</f>
        <v>0</v>
      </c>
      <c r="U116" s="43">
        <f>M116</f>
        <v>1598</v>
      </c>
      <c r="V116" s="43">
        <f t="shared" ref="V116:V118" si="113">Q116</f>
        <v>6071</v>
      </c>
    </row>
    <row r="117" spans="1:22" ht="17.25" customHeight="1">
      <c r="A117" s="15" t="s">
        <v>231</v>
      </c>
      <c r="J117" s="43"/>
      <c r="K117" s="43"/>
      <c r="L117" s="43"/>
      <c r="M117" s="43">
        <v>27</v>
      </c>
      <c r="N117" s="43">
        <v>115</v>
      </c>
      <c r="O117" s="43">
        <v>286</v>
      </c>
      <c r="P117" s="88">
        <v>592.96325609839994</v>
      </c>
      <c r="Q117" s="88">
        <v>933</v>
      </c>
      <c r="S117" s="43">
        <f>E117</f>
        <v>0</v>
      </c>
      <c r="T117" s="43">
        <f>I117</f>
        <v>0</v>
      </c>
      <c r="U117" s="43">
        <f>M117</f>
        <v>27</v>
      </c>
      <c r="V117" s="43">
        <f t="shared" si="113"/>
        <v>933</v>
      </c>
    </row>
    <row r="118" spans="1:22" ht="17.25" customHeight="1">
      <c r="A118" s="137" t="s">
        <v>240</v>
      </c>
      <c r="B118" s="138">
        <f t="shared" ref="B118:N118" si="114">B115+B116+B117</f>
        <v>4326.7090496981946</v>
      </c>
      <c r="C118" s="138">
        <f t="shared" si="114"/>
        <v>22577.618111934535</v>
      </c>
      <c r="D118" s="138">
        <f t="shared" si="114"/>
        <v>21543.591768061404</v>
      </c>
      <c r="E118" s="138">
        <f t="shared" si="114"/>
        <v>21551.675080579033</v>
      </c>
      <c r="F118" s="138">
        <f t="shared" si="114"/>
        <v>22266.48359271009</v>
      </c>
      <c r="G118" s="138">
        <f t="shared" si="114"/>
        <v>24872.017777525005</v>
      </c>
      <c r="H118" s="138">
        <f t="shared" si="114"/>
        <v>27896.178706692004</v>
      </c>
      <c r="I118" s="138">
        <f t="shared" si="114"/>
        <v>32144.294986173307</v>
      </c>
      <c r="J118" s="138">
        <f t="shared" si="114"/>
        <v>35218.811804454635</v>
      </c>
      <c r="K118" s="138">
        <f t="shared" si="114"/>
        <v>38604.294052483769</v>
      </c>
      <c r="L118" s="138">
        <f t="shared" si="114"/>
        <v>43027.840282440346</v>
      </c>
      <c r="M118" s="138">
        <f t="shared" si="114"/>
        <v>47925.587526545984</v>
      </c>
      <c r="N118" s="138">
        <f t="shared" si="114"/>
        <v>50530.26492366763</v>
      </c>
      <c r="O118" s="138">
        <f>O115+O116+O117</f>
        <v>54736.490679703777</v>
      </c>
      <c r="P118" s="138">
        <f>P115+P116+P117</f>
        <v>59093.382676923153</v>
      </c>
      <c r="Q118" s="138">
        <f>Q115+Q116+Q117</f>
        <v>64652.478492524329</v>
      </c>
      <c r="R118" s="69"/>
      <c r="S118" s="138">
        <f>E118</f>
        <v>21551.675080579033</v>
      </c>
      <c r="T118" s="138">
        <f>I118</f>
        <v>32144.294986173307</v>
      </c>
      <c r="U118" s="138">
        <f>M118</f>
        <v>47925.587526545984</v>
      </c>
      <c r="V118" s="138">
        <f t="shared" si="113"/>
        <v>64652.478492524329</v>
      </c>
    </row>
    <row r="120" spans="1:22" s="44" customFormat="1" ht="17.25" customHeight="1">
      <c r="A120" s="40" t="s">
        <v>241</v>
      </c>
      <c r="B120" s="41">
        <f>B96</f>
        <v>47180.695162760712</v>
      </c>
      <c r="C120" s="41">
        <f t="shared" ref="C120:Q120" si="115">C96</f>
        <v>66985.459222501231</v>
      </c>
      <c r="D120" s="41">
        <f t="shared" si="115"/>
        <v>65792</v>
      </c>
      <c r="E120" s="41">
        <f t="shared" si="115"/>
        <v>65184.800000000003</v>
      </c>
      <c r="F120" s="41">
        <f t="shared" si="115"/>
        <v>64590.483592710087</v>
      </c>
      <c r="G120" s="41">
        <f t="shared" si="115"/>
        <v>63780.017777525005</v>
      </c>
      <c r="H120" s="41">
        <f t="shared" si="115"/>
        <v>64867.436664032837</v>
      </c>
      <c r="I120" s="41">
        <f t="shared" si="115"/>
        <v>63988.925969494674</v>
      </c>
      <c r="J120" s="41">
        <f t="shared" si="115"/>
        <v>63938.022287643544</v>
      </c>
      <c r="K120" s="41">
        <f t="shared" si="115"/>
        <v>66320.6079894703</v>
      </c>
      <c r="L120" s="41">
        <f t="shared" si="115"/>
        <v>66407.646442305559</v>
      </c>
      <c r="M120" s="41">
        <f t="shared" si="115"/>
        <v>67219.095188805892</v>
      </c>
      <c r="N120" s="41">
        <f t="shared" si="115"/>
        <v>68052.755239022401</v>
      </c>
      <c r="O120" s="41">
        <f t="shared" si="115"/>
        <v>70719.600934043221</v>
      </c>
      <c r="P120" s="41">
        <f t="shared" si="115"/>
        <v>72810.213467976471</v>
      </c>
      <c r="Q120" s="41">
        <f t="shared" si="115"/>
        <v>73685.011365073486</v>
      </c>
      <c r="S120" s="41">
        <f>E120</f>
        <v>65184.800000000003</v>
      </c>
      <c r="T120" s="41">
        <f>I120</f>
        <v>63988.925969494674</v>
      </c>
      <c r="U120" s="41">
        <f>M120</f>
        <v>67219.095188805892</v>
      </c>
      <c r="V120" s="41">
        <f>Q120</f>
        <v>73685.011365073486</v>
      </c>
    </row>
    <row r="121" spans="1:22" ht="17.25" customHeight="1">
      <c r="A121" s="15" t="s">
        <v>230</v>
      </c>
      <c r="J121" s="43">
        <f>J116</f>
        <v>328</v>
      </c>
      <c r="K121" s="43">
        <f t="shared" ref="K121:O122" si="116">K116</f>
        <v>612</v>
      </c>
      <c r="L121" s="43">
        <f t="shared" si="116"/>
        <v>875</v>
      </c>
      <c r="M121" s="43">
        <f t="shared" si="116"/>
        <v>1598</v>
      </c>
      <c r="N121" s="43">
        <f t="shared" si="116"/>
        <v>2408</v>
      </c>
      <c r="O121" s="43">
        <f t="shared" si="116"/>
        <v>3686</v>
      </c>
      <c r="P121" s="43">
        <f t="shared" ref="P121:Q121" si="117">P116</f>
        <v>4958.7466235796492</v>
      </c>
      <c r="Q121" s="43">
        <f t="shared" si="117"/>
        <v>6071</v>
      </c>
      <c r="S121" s="43">
        <f>E121</f>
        <v>0</v>
      </c>
      <c r="T121" s="43">
        <f>I121</f>
        <v>0</v>
      </c>
      <c r="U121" s="43">
        <f>M121</f>
        <v>1598</v>
      </c>
      <c r="V121" s="155">
        <f t="shared" ref="V121:V123" si="118">Q121</f>
        <v>6071</v>
      </c>
    </row>
    <row r="122" spans="1:22" ht="17.25" customHeight="1">
      <c r="A122" s="15" t="s">
        <v>231</v>
      </c>
      <c r="J122" s="43">
        <f>J117</f>
        <v>0</v>
      </c>
      <c r="K122" s="43">
        <f t="shared" si="116"/>
        <v>0</v>
      </c>
      <c r="L122" s="43">
        <f t="shared" si="116"/>
        <v>0</v>
      </c>
      <c r="M122" s="43">
        <f t="shared" si="116"/>
        <v>27</v>
      </c>
      <c r="N122" s="43">
        <f t="shared" si="116"/>
        <v>115</v>
      </c>
      <c r="O122" s="43">
        <f t="shared" si="116"/>
        <v>286</v>
      </c>
      <c r="P122" s="43">
        <f t="shared" ref="P122:Q122" si="119">P117</f>
        <v>592.96325609839994</v>
      </c>
      <c r="Q122" s="43">
        <f t="shared" si="119"/>
        <v>933</v>
      </c>
      <c r="S122" s="43">
        <f>E122</f>
        <v>0</v>
      </c>
      <c r="T122" s="43">
        <f>I122</f>
        <v>0</v>
      </c>
      <c r="U122" s="43">
        <f>M122</f>
        <v>27</v>
      </c>
      <c r="V122" s="155">
        <f t="shared" si="118"/>
        <v>933</v>
      </c>
    </row>
    <row r="123" spans="1:22" s="44" customFormat="1" ht="17.25" customHeight="1">
      <c r="A123" s="137" t="s">
        <v>242</v>
      </c>
      <c r="B123" s="138">
        <f>SUM(B120:B122)</f>
        <v>47180.695162760712</v>
      </c>
      <c r="C123" s="138">
        <f t="shared" ref="C123:Q123" si="120">SUM(C120:C122)</f>
        <v>66985.459222501231</v>
      </c>
      <c r="D123" s="138">
        <f t="shared" si="120"/>
        <v>65792</v>
      </c>
      <c r="E123" s="138">
        <f t="shared" si="120"/>
        <v>65184.800000000003</v>
      </c>
      <c r="F123" s="138">
        <f t="shared" si="120"/>
        <v>64590.483592710087</v>
      </c>
      <c r="G123" s="138">
        <f t="shared" si="120"/>
        <v>63780.017777525005</v>
      </c>
      <c r="H123" s="138">
        <f t="shared" si="120"/>
        <v>64867.436664032837</v>
      </c>
      <c r="I123" s="138">
        <f t="shared" si="120"/>
        <v>63988.925969494674</v>
      </c>
      <c r="J123" s="138">
        <f t="shared" si="120"/>
        <v>64266.022287643544</v>
      </c>
      <c r="K123" s="138">
        <f t="shared" si="120"/>
        <v>66932.6079894703</v>
      </c>
      <c r="L123" s="138">
        <f t="shared" si="120"/>
        <v>67282.646442305559</v>
      </c>
      <c r="M123" s="138">
        <f>SUM(M120:M122)</f>
        <v>68844.095188805892</v>
      </c>
      <c r="N123" s="138">
        <f t="shared" si="120"/>
        <v>70575.755239022401</v>
      </c>
      <c r="O123" s="138">
        <f t="shared" si="120"/>
        <v>74691.600934043221</v>
      </c>
      <c r="P123" s="138">
        <f t="shared" si="120"/>
        <v>78361.92334765452</v>
      </c>
      <c r="Q123" s="138">
        <f t="shared" si="120"/>
        <v>80689.011365073486</v>
      </c>
      <c r="R123" s="139"/>
      <c r="S123" s="138">
        <f>E123</f>
        <v>65184.800000000003</v>
      </c>
      <c r="T123" s="138">
        <f>I123</f>
        <v>63988.925969494674</v>
      </c>
      <c r="U123" s="138">
        <f>M123</f>
        <v>68844.095188805892</v>
      </c>
      <c r="V123" s="138">
        <f t="shared" si="118"/>
        <v>80689.011365073486</v>
      </c>
    </row>
    <row r="124" spans="1:22" ht="17.25" customHeight="1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136"/>
      <c r="N124" s="43"/>
      <c r="O124" s="43"/>
    </row>
    <row r="125" spans="1:22" ht="17.25" customHeight="1">
      <c r="Q125" s="133"/>
    </row>
  </sheetData>
  <mergeCells count="5">
    <mergeCell ref="B1:E1"/>
    <mergeCell ref="F1:I1"/>
    <mergeCell ref="J1:M1"/>
    <mergeCell ref="N1:Q1"/>
    <mergeCell ref="S1:V1"/>
  </mergeCells>
  <pageMargins left="0.7" right="0.7" top="0.75" bottom="0.75" header="0.3" footer="0.3"/>
  <pageSetup orientation="portrait" r:id="rId1"/>
  <ignoredErrors>
    <ignoredError sqref="B9:P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J4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7" width="9.33203125" style="10" customWidth="1"/>
    <col min="18" max="18" width="8.6640625" style="10"/>
    <col min="19" max="22" width="9.33203125" style="10" customWidth="1"/>
    <col min="23" max="16384" width="8.6640625" style="10"/>
  </cols>
  <sheetData>
    <row r="1" spans="1:36" s="9" customFormat="1" ht="22.5" customHeight="1">
      <c r="A1" s="4"/>
      <c r="B1" s="166" t="s">
        <v>0</v>
      </c>
      <c r="C1" s="166"/>
      <c r="D1" s="166"/>
      <c r="E1" s="167"/>
      <c r="F1" s="168" t="s">
        <v>1</v>
      </c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36"/>
      <c r="S1" s="166" t="s">
        <v>3</v>
      </c>
      <c r="T1" s="166"/>
      <c r="U1" s="166"/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37"/>
      <c r="S2" s="18" t="s">
        <v>0</v>
      </c>
      <c r="T2" s="18" t="s">
        <v>1</v>
      </c>
      <c r="U2" s="18" t="s">
        <v>2</v>
      </c>
      <c r="V2" s="18" t="s">
        <v>15</v>
      </c>
    </row>
    <row r="3" spans="1:36" ht="17.25" customHeight="1">
      <c r="A3" s="20" t="s">
        <v>69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1"/>
      <c r="R3" s="23"/>
      <c r="S3" s="23"/>
      <c r="T3" s="23"/>
      <c r="U3" s="23"/>
      <c r="V3" s="23"/>
    </row>
    <row r="4" spans="1:36" ht="17.25" customHeight="1">
      <c r="A4" s="28" t="s">
        <v>70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43">
        <v>2029.9099999999999</v>
      </c>
      <c r="G4" s="43">
        <v>1841.92</v>
      </c>
      <c r="H4" s="43">
        <v>2006.23</v>
      </c>
      <c r="I4" s="55">
        <v>1920.56</v>
      </c>
      <c r="J4" s="43">
        <v>1704.06</v>
      </c>
      <c r="K4" s="43">
        <v>1778.3200000000002</v>
      </c>
      <c r="L4" s="43">
        <v>1930.6599999999999</v>
      </c>
      <c r="M4" s="55">
        <v>1900.85</v>
      </c>
      <c r="N4" s="43">
        <v>1928.5</v>
      </c>
      <c r="O4" s="43">
        <v>2080.4299999999998</v>
      </c>
      <c r="P4" s="43">
        <v>2188.8400000000006</v>
      </c>
      <c r="Q4" s="43">
        <v>2263.6000000000004</v>
      </c>
      <c r="S4" s="43">
        <f>SUM(B4:E4)</f>
        <v>7522.78</v>
      </c>
      <c r="T4" s="43">
        <f>SUM(F4:I4)</f>
        <v>7798.619999999999</v>
      </c>
      <c r="U4" s="43">
        <f>SUM(J4:M4)</f>
        <v>7313.8899999999994</v>
      </c>
      <c r="V4" s="43">
        <f t="shared" ref="V4:V12" si="0">SUM(N4:Q4)</f>
        <v>8461.3700000000008</v>
      </c>
    </row>
    <row r="5" spans="1:36" ht="17.25" customHeight="1">
      <c r="A5" s="28" t="s">
        <v>71</v>
      </c>
      <c r="B5" s="43">
        <v>13.680000000000001</v>
      </c>
      <c r="C5" s="43">
        <v>16.97</v>
      </c>
      <c r="D5" s="43">
        <v>10.34</v>
      </c>
      <c r="E5" s="55">
        <v>8.3699999999999992</v>
      </c>
      <c r="F5" s="43">
        <v>4.0000000000009098E-2</v>
      </c>
      <c r="G5" s="43">
        <v>0</v>
      </c>
      <c r="H5" s="43">
        <v>0</v>
      </c>
      <c r="I5" s="55">
        <v>91.71</v>
      </c>
      <c r="J5" s="43">
        <v>76.209999999999994</v>
      </c>
      <c r="K5" s="43">
        <v>13.330000000000013</v>
      </c>
      <c r="L5" s="43">
        <v>9.25</v>
      </c>
      <c r="M5" s="55">
        <v>49.1</v>
      </c>
      <c r="N5" s="43">
        <v>0.03</v>
      </c>
      <c r="O5" s="43">
        <v>32.24</v>
      </c>
      <c r="P5" s="43">
        <v>12.119999999999997</v>
      </c>
      <c r="Q5" s="43">
        <v>13.149999999999999</v>
      </c>
      <c r="S5" s="43">
        <f t="shared" ref="S5:S35" si="1">SUM(B5:E5)</f>
        <v>49.359999999999992</v>
      </c>
      <c r="T5" s="43">
        <f t="shared" ref="T5:T35" si="2">SUM(F5:I5)</f>
        <v>91.75</v>
      </c>
      <c r="U5" s="43">
        <f t="shared" ref="U5:U35" si="3">SUM(J5:M5)</f>
        <v>147.89000000000001</v>
      </c>
      <c r="V5" s="43">
        <f t="shared" si="0"/>
        <v>57.54</v>
      </c>
    </row>
    <row r="6" spans="1:36" ht="17.25" customHeight="1">
      <c r="A6" s="28" t="s">
        <v>72</v>
      </c>
      <c r="B6" s="43">
        <v>0.39</v>
      </c>
      <c r="C6" s="43">
        <v>0.19</v>
      </c>
      <c r="D6" s="43">
        <v>0.18</v>
      </c>
      <c r="E6" s="55">
        <v>0.42000000000000004</v>
      </c>
      <c r="F6" s="43">
        <v>0.4</v>
      </c>
      <c r="G6" s="43">
        <v>0.1</v>
      </c>
      <c r="H6" s="43">
        <v>2.2200000000000002</v>
      </c>
      <c r="I6" s="55">
        <v>20.3</v>
      </c>
      <c r="J6" s="43">
        <v>20.37</v>
      </c>
      <c r="K6" s="43">
        <v>11.329999999999998</v>
      </c>
      <c r="L6" s="43">
        <v>16.809999999999999</v>
      </c>
      <c r="M6" s="55">
        <v>30.330000000000002</v>
      </c>
      <c r="N6" s="43">
        <v>31.13</v>
      </c>
      <c r="O6" s="43">
        <v>35.44</v>
      </c>
      <c r="P6" s="43">
        <v>30.28</v>
      </c>
      <c r="Q6" s="43">
        <v>32.539999999999992</v>
      </c>
      <c r="S6" s="43">
        <f t="shared" si="1"/>
        <v>1.1800000000000002</v>
      </c>
      <c r="T6" s="43">
        <f t="shared" si="2"/>
        <v>23.02</v>
      </c>
      <c r="U6" s="43">
        <f t="shared" si="3"/>
        <v>78.84</v>
      </c>
      <c r="V6" s="43">
        <f t="shared" si="0"/>
        <v>129.38999999999999</v>
      </c>
    </row>
    <row r="7" spans="1:36" ht="17.25" customHeight="1">
      <c r="A7" s="28" t="s">
        <v>73</v>
      </c>
      <c r="B7" s="43">
        <v>36.479999999999997</v>
      </c>
      <c r="C7" s="43">
        <v>19.760000000000002</v>
      </c>
      <c r="D7" s="43">
        <v>37.520000000000003</v>
      </c>
      <c r="E7" s="55">
        <v>41.67</v>
      </c>
      <c r="F7" s="43">
        <v>63.090000000000011</v>
      </c>
      <c r="G7" s="43">
        <v>48.26</v>
      </c>
      <c r="H7" s="43">
        <v>84.48</v>
      </c>
      <c r="I7" s="55">
        <v>95.81</v>
      </c>
      <c r="J7" s="43">
        <v>90.16</v>
      </c>
      <c r="K7" s="43">
        <v>125.19000000000001</v>
      </c>
      <c r="L7" s="43">
        <v>154.58000000000001</v>
      </c>
      <c r="M7" s="55">
        <v>189.79000000000002</v>
      </c>
      <c r="N7" s="43">
        <v>105.89</v>
      </c>
      <c r="O7" s="43">
        <v>101.86999999999999</v>
      </c>
      <c r="P7" s="43">
        <v>107.5</v>
      </c>
      <c r="Q7" s="43">
        <v>124.24000000000001</v>
      </c>
      <c r="S7" s="43">
        <f t="shared" si="1"/>
        <v>135.43</v>
      </c>
      <c r="T7" s="43">
        <f t="shared" si="2"/>
        <v>291.64</v>
      </c>
      <c r="U7" s="43">
        <f t="shared" si="3"/>
        <v>559.72</v>
      </c>
      <c r="V7" s="43">
        <f t="shared" si="0"/>
        <v>439.5</v>
      </c>
    </row>
    <row r="8" spans="1:36" ht="17.25" customHeight="1">
      <c r="A8" s="28" t="s">
        <v>74</v>
      </c>
      <c r="B8" s="43">
        <v>26.73</v>
      </c>
      <c r="C8" s="43">
        <v>3.15</v>
      </c>
      <c r="D8" s="43">
        <v>74.67</v>
      </c>
      <c r="E8" s="55">
        <v>-238.4</v>
      </c>
      <c r="F8" s="43">
        <v>63.639999999999965</v>
      </c>
      <c r="G8" s="43">
        <v>-1023.43</v>
      </c>
      <c r="H8" s="43">
        <v>420.4</v>
      </c>
      <c r="I8" s="55">
        <v>-269.36</v>
      </c>
      <c r="J8" s="43">
        <v>889.29</v>
      </c>
      <c r="K8" s="43">
        <v>78.53</v>
      </c>
      <c r="L8" s="43">
        <v>340.9</v>
      </c>
      <c r="M8" s="55">
        <v>-574.74</v>
      </c>
      <c r="N8" s="43">
        <v>0</v>
      </c>
      <c r="O8" s="43">
        <v>0</v>
      </c>
      <c r="P8" s="43">
        <v>0</v>
      </c>
      <c r="Q8" s="43">
        <v>0</v>
      </c>
      <c r="S8" s="43">
        <f t="shared" si="1"/>
        <v>-133.85000000000002</v>
      </c>
      <c r="T8" s="43">
        <f t="shared" si="2"/>
        <v>-808.75</v>
      </c>
      <c r="U8" s="43">
        <f t="shared" si="3"/>
        <v>733.97999999999979</v>
      </c>
      <c r="V8" s="43">
        <f t="shared" si="0"/>
        <v>0</v>
      </c>
    </row>
    <row r="9" spans="1:36" ht="17.25" customHeight="1">
      <c r="A9" s="28" t="s">
        <v>75</v>
      </c>
      <c r="B9" s="43">
        <v>4.25</v>
      </c>
      <c r="C9" s="43">
        <v>3.7700000000000005</v>
      </c>
      <c r="D9" s="43">
        <v>4.71</v>
      </c>
      <c r="E9" s="55">
        <v>4.0199999999999996</v>
      </c>
      <c r="F9" s="43">
        <v>4.2</v>
      </c>
      <c r="G9" s="43">
        <v>3.4300000000000006</v>
      </c>
      <c r="H9" s="43">
        <v>0.86999999999999988</v>
      </c>
      <c r="I9" s="55">
        <v>3.3299999999999996</v>
      </c>
      <c r="J9" s="43">
        <v>2.42</v>
      </c>
      <c r="K9" s="43">
        <v>2.4900000000000002</v>
      </c>
      <c r="L9" s="43">
        <v>0.24</v>
      </c>
      <c r="M9" s="55">
        <v>0.3</v>
      </c>
      <c r="N9" s="43">
        <v>3</v>
      </c>
      <c r="O9" s="43">
        <v>0</v>
      </c>
      <c r="P9" s="43">
        <v>1.96</v>
      </c>
      <c r="Q9" s="43">
        <v>10.3</v>
      </c>
      <c r="S9" s="43">
        <f t="shared" si="1"/>
        <v>16.75</v>
      </c>
      <c r="T9" s="43">
        <f t="shared" si="2"/>
        <v>11.83</v>
      </c>
      <c r="U9" s="43">
        <f t="shared" si="3"/>
        <v>5.45</v>
      </c>
      <c r="V9" s="43">
        <f t="shared" si="0"/>
        <v>15.260000000000002</v>
      </c>
    </row>
    <row r="10" spans="1:36" ht="17.25" customHeight="1">
      <c r="A10" s="28" t="s">
        <v>189</v>
      </c>
      <c r="B10" s="43">
        <v>0</v>
      </c>
      <c r="C10" s="43">
        <v>0</v>
      </c>
      <c r="D10" s="43">
        <v>0</v>
      </c>
      <c r="E10" s="55">
        <v>0</v>
      </c>
      <c r="F10" s="43">
        <v>0</v>
      </c>
      <c r="G10" s="43">
        <v>0</v>
      </c>
      <c r="H10" s="43">
        <v>717.44</v>
      </c>
      <c r="I10" s="55">
        <v>0</v>
      </c>
      <c r="J10" s="43">
        <v>95.46</v>
      </c>
      <c r="K10" s="43">
        <v>184.17000000000002</v>
      </c>
      <c r="L10" s="43">
        <v>23.20999999999998</v>
      </c>
      <c r="M10" s="55">
        <v>877.66000000000008</v>
      </c>
      <c r="N10" s="43">
        <v>157.95999999999998</v>
      </c>
      <c r="O10" s="43">
        <v>114.92000000000002</v>
      </c>
      <c r="P10" s="43">
        <v>483.9</v>
      </c>
      <c r="Q10" s="43">
        <v>409.72</v>
      </c>
      <c r="S10" s="43">
        <f t="shared" si="1"/>
        <v>0</v>
      </c>
      <c r="T10" s="43">
        <f t="shared" si="2"/>
        <v>717.44</v>
      </c>
      <c r="U10" s="43">
        <f t="shared" si="3"/>
        <v>1180.5</v>
      </c>
      <c r="V10" s="43">
        <f t="shared" si="0"/>
        <v>1166.5</v>
      </c>
    </row>
    <row r="11" spans="1:36" s="44" customFormat="1" ht="17.25" customHeight="1">
      <c r="A11" s="29" t="s">
        <v>99</v>
      </c>
      <c r="B11" s="41">
        <f>SUM(B4:B10)</f>
        <v>1621.21</v>
      </c>
      <c r="C11" s="41">
        <f t="shared" ref="C11:Q11" si="4">SUM(C4:C10)</f>
        <v>1576.8400000000001</v>
      </c>
      <c r="D11" s="41">
        <f t="shared" si="4"/>
        <v>2285.2200000000003</v>
      </c>
      <c r="E11" s="42">
        <f t="shared" si="4"/>
        <v>2108.38</v>
      </c>
      <c r="F11" s="41">
        <f t="shared" si="4"/>
        <v>2161.2799999999997</v>
      </c>
      <c r="G11" s="41">
        <f t="shared" si="4"/>
        <v>870.28</v>
      </c>
      <c r="H11" s="41">
        <f t="shared" si="4"/>
        <v>3231.64</v>
      </c>
      <c r="I11" s="42">
        <f t="shared" si="4"/>
        <v>1862.35</v>
      </c>
      <c r="J11" s="41">
        <f t="shared" si="4"/>
        <v>2877.9700000000003</v>
      </c>
      <c r="K11" s="41">
        <f t="shared" si="4"/>
        <v>2193.36</v>
      </c>
      <c r="L11" s="41">
        <f t="shared" si="4"/>
        <v>2475.6499999999996</v>
      </c>
      <c r="M11" s="42">
        <f t="shared" si="4"/>
        <v>2473.29</v>
      </c>
      <c r="N11" s="41">
        <f t="shared" si="4"/>
        <v>2226.5100000000002</v>
      </c>
      <c r="O11" s="41">
        <f t="shared" si="4"/>
        <v>2364.8999999999996</v>
      </c>
      <c r="P11" s="41">
        <f t="shared" si="4"/>
        <v>2824.6000000000008</v>
      </c>
      <c r="Q11" s="41">
        <f t="shared" si="4"/>
        <v>2853.5500000000011</v>
      </c>
      <c r="S11" s="41">
        <f>SUM(B11:E11)</f>
        <v>7591.6500000000005</v>
      </c>
      <c r="T11" s="41">
        <f>SUM(F11:I11)</f>
        <v>8125.5499999999993</v>
      </c>
      <c r="U11" s="41">
        <f>SUM(J11:M11)</f>
        <v>10020.27</v>
      </c>
      <c r="V11" s="41">
        <f t="shared" si="0"/>
        <v>10269.560000000001</v>
      </c>
    </row>
    <row r="12" spans="1:36" ht="17.25" customHeight="1">
      <c r="A12" s="28" t="s">
        <v>76</v>
      </c>
      <c r="B12" s="43">
        <v>22.740000000000002</v>
      </c>
      <c r="C12" s="43">
        <v>27.089999999999996</v>
      </c>
      <c r="D12" s="43">
        <v>43.97</v>
      </c>
      <c r="E12" s="55">
        <v>91.59</v>
      </c>
      <c r="F12" s="43">
        <v>23.120000000000026</v>
      </c>
      <c r="G12" s="43">
        <v>62.52</v>
      </c>
      <c r="H12" s="43">
        <v>55.489999999999995</v>
      </c>
      <c r="I12" s="55">
        <v>11.31</v>
      </c>
      <c r="J12" s="43">
        <v>20.82</v>
      </c>
      <c r="K12" s="43">
        <v>11.85</v>
      </c>
      <c r="L12" s="43">
        <v>70.55</v>
      </c>
      <c r="M12" s="55">
        <v>54.870000000000005</v>
      </c>
      <c r="N12" s="43">
        <v>22.58</v>
      </c>
      <c r="O12" s="43">
        <v>87.03</v>
      </c>
      <c r="P12" s="43">
        <v>53.64</v>
      </c>
      <c r="Q12" s="43">
        <v>179.06</v>
      </c>
      <c r="S12" s="43">
        <f t="shared" si="1"/>
        <v>185.39</v>
      </c>
      <c r="T12" s="43">
        <f t="shared" si="2"/>
        <v>152.44000000000003</v>
      </c>
      <c r="U12" s="43">
        <f t="shared" si="3"/>
        <v>158.09</v>
      </c>
      <c r="V12" s="43">
        <f t="shared" si="0"/>
        <v>342.31</v>
      </c>
    </row>
    <row r="13" spans="1:36" ht="17.25" customHeight="1">
      <c r="A13" s="28"/>
      <c r="B13" s="43"/>
      <c r="C13" s="43"/>
      <c r="D13" s="43"/>
      <c r="E13" s="55"/>
      <c r="F13" s="43"/>
      <c r="G13" s="43"/>
      <c r="H13" s="43"/>
      <c r="I13" s="55"/>
      <c r="J13" s="43"/>
      <c r="K13" s="43"/>
      <c r="L13" s="43"/>
      <c r="M13" s="55"/>
      <c r="N13" s="43"/>
      <c r="O13" s="43"/>
      <c r="P13" s="43"/>
      <c r="Q13" s="43"/>
      <c r="S13" s="43"/>
      <c r="T13" s="43"/>
      <c r="U13" s="43"/>
      <c r="V13" s="43"/>
    </row>
    <row r="14" spans="1:36" s="44" customFormat="1" ht="17.25" customHeight="1">
      <c r="A14" s="29" t="s">
        <v>100</v>
      </c>
      <c r="B14" s="41">
        <f>B11+B12</f>
        <v>1643.95</v>
      </c>
      <c r="C14" s="41">
        <f t="shared" ref="C14:Q14" si="5">C11+C12</f>
        <v>1603.93</v>
      </c>
      <c r="D14" s="41">
        <f t="shared" si="5"/>
        <v>2329.19</v>
      </c>
      <c r="E14" s="42">
        <f t="shared" si="5"/>
        <v>2199.9700000000003</v>
      </c>
      <c r="F14" s="41">
        <f t="shared" si="5"/>
        <v>2184.3999999999996</v>
      </c>
      <c r="G14" s="41">
        <f t="shared" si="5"/>
        <v>932.8</v>
      </c>
      <c r="H14" s="41">
        <f t="shared" si="5"/>
        <v>3287.1299999999997</v>
      </c>
      <c r="I14" s="42">
        <f t="shared" si="5"/>
        <v>1873.6599999999999</v>
      </c>
      <c r="J14" s="41">
        <f t="shared" si="5"/>
        <v>2898.7900000000004</v>
      </c>
      <c r="K14" s="41">
        <f t="shared" si="5"/>
        <v>2205.21</v>
      </c>
      <c r="L14" s="41">
        <f t="shared" si="5"/>
        <v>2546.1999999999998</v>
      </c>
      <c r="M14" s="42">
        <f t="shared" si="5"/>
        <v>2528.16</v>
      </c>
      <c r="N14" s="41">
        <f t="shared" si="5"/>
        <v>2249.09</v>
      </c>
      <c r="O14" s="41">
        <f t="shared" si="5"/>
        <v>2451.9299999999998</v>
      </c>
      <c r="P14" s="41">
        <f t="shared" si="5"/>
        <v>2878.2400000000007</v>
      </c>
      <c r="Q14" s="41">
        <f t="shared" si="5"/>
        <v>3032.610000000001</v>
      </c>
      <c r="S14" s="41">
        <f>SUM(B14:E14)</f>
        <v>7777.04</v>
      </c>
      <c r="T14" s="41">
        <f>SUM(F14:I14)</f>
        <v>8277.99</v>
      </c>
      <c r="U14" s="41">
        <f>SUM(J14:M14)</f>
        <v>10178.36</v>
      </c>
      <c r="V14" s="41">
        <f>SUM(N14:Q14)</f>
        <v>10611.870000000003</v>
      </c>
      <c r="X14" s="41"/>
    </row>
    <row r="15" spans="1:36" s="44" customFormat="1" ht="17.25" customHeight="1">
      <c r="A15" s="29"/>
      <c r="B15" s="41"/>
      <c r="C15" s="41"/>
      <c r="D15" s="41"/>
      <c r="E15" s="42"/>
      <c r="F15" s="41"/>
      <c r="G15" s="41"/>
      <c r="H15" s="41"/>
      <c r="I15" s="42"/>
      <c r="J15" s="41"/>
      <c r="K15" s="41"/>
      <c r="L15" s="41"/>
      <c r="M15" s="42"/>
      <c r="N15" s="41"/>
      <c r="O15" s="41"/>
      <c r="P15" s="41"/>
      <c r="Q15" s="41"/>
      <c r="S15" s="41"/>
      <c r="T15" s="41"/>
      <c r="U15" s="41"/>
      <c r="V15" s="155"/>
    </row>
    <row r="16" spans="1:36" s="44" customFormat="1" ht="17.25" customHeight="1">
      <c r="A16" s="29" t="s">
        <v>101</v>
      </c>
      <c r="B16" s="41"/>
      <c r="C16" s="41"/>
      <c r="D16" s="41"/>
      <c r="E16" s="42"/>
      <c r="F16" s="41"/>
      <c r="G16" s="41"/>
      <c r="H16" s="41"/>
      <c r="I16" s="42"/>
      <c r="J16" s="41"/>
      <c r="K16" s="41"/>
      <c r="L16" s="41"/>
      <c r="M16" s="42"/>
      <c r="N16" s="41"/>
      <c r="O16" s="41"/>
      <c r="P16" s="41"/>
      <c r="Q16" s="41"/>
      <c r="S16" s="41"/>
      <c r="T16" s="41"/>
      <c r="U16" s="41"/>
      <c r="V16" s="155"/>
    </row>
    <row r="17" spans="1:22" ht="17.25" customHeight="1">
      <c r="A17" s="28" t="s">
        <v>77</v>
      </c>
      <c r="B17" s="43">
        <v>937.31000000000006</v>
      </c>
      <c r="C17" s="43">
        <v>911.01</v>
      </c>
      <c r="D17" s="43">
        <v>1219.97</v>
      </c>
      <c r="E17" s="55">
        <v>1156.8</v>
      </c>
      <c r="F17" s="43">
        <v>1043.6399999999999</v>
      </c>
      <c r="G17" s="43">
        <v>1000.47</v>
      </c>
      <c r="H17" s="43">
        <v>959.33000000000015</v>
      </c>
      <c r="I17" s="55">
        <v>990.87999999999988</v>
      </c>
      <c r="J17" s="43">
        <v>1042.44</v>
      </c>
      <c r="K17" s="43">
        <v>1038.9000000000001</v>
      </c>
      <c r="L17" s="43">
        <v>1102.56</v>
      </c>
      <c r="M17" s="55">
        <v>1167.05</v>
      </c>
      <c r="N17" s="43">
        <v>1196.1500000000001</v>
      </c>
      <c r="O17" s="43">
        <v>1305</v>
      </c>
      <c r="P17" s="43">
        <v>1364.04</v>
      </c>
      <c r="Q17" s="43">
        <v>1416.69</v>
      </c>
      <c r="S17" s="43">
        <f t="shared" si="1"/>
        <v>4225.09</v>
      </c>
      <c r="T17" s="43">
        <f t="shared" si="2"/>
        <v>3994.3199999999997</v>
      </c>
      <c r="U17" s="43">
        <f t="shared" si="3"/>
        <v>4350.95</v>
      </c>
      <c r="V17" s="155">
        <f t="shared" ref="V17:V39" si="6">SUM(N17:Q17)</f>
        <v>5281.88</v>
      </c>
    </row>
    <row r="18" spans="1:22" ht="17.25" customHeight="1">
      <c r="A18" s="28" t="s">
        <v>78</v>
      </c>
      <c r="B18" s="43">
        <v>5.8400000000000007</v>
      </c>
      <c r="C18" s="43">
        <v>3</v>
      </c>
      <c r="D18" s="43">
        <v>29.360000000000003</v>
      </c>
      <c r="E18" s="55">
        <v>18.43</v>
      </c>
      <c r="F18" s="43">
        <v>7.7600000000000025</v>
      </c>
      <c r="G18" s="43">
        <v>12.47</v>
      </c>
      <c r="H18" s="43">
        <v>14</v>
      </c>
      <c r="I18" s="55">
        <v>12.63</v>
      </c>
      <c r="J18" s="43">
        <v>1.45</v>
      </c>
      <c r="K18" s="43">
        <v>11.13</v>
      </c>
      <c r="L18" s="43">
        <v>15.23</v>
      </c>
      <c r="M18" s="55">
        <v>21.68</v>
      </c>
      <c r="N18" s="43">
        <v>8.5399999999999991</v>
      </c>
      <c r="O18" s="43">
        <v>12.400000000000002</v>
      </c>
      <c r="P18" s="43">
        <v>13.859999999999996</v>
      </c>
      <c r="Q18" s="43">
        <v>0.71000000000000085</v>
      </c>
      <c r="S18" s="43">
        <f t="shared" si="1"/>
        <v>56.63</v>
      </c>
      <c r="T18" s="43">
        <f t="shared" si="2"/>
        <v>46.860000000000007</v>
      </c>
      <c r="U18" s="43">
        <f t="shared" si="3"/>
        <v>49.49</v>
      </c>
      <c r="V18" s="155">
        <f t="shared" si="6"/>
        <v>35.51</v>
      </c>
    </row>
    <row r="19" spans="1:22" ht="17.25" customHeight="1">
      <c r="A19" s="28" t="s">
        <v>98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225.59</v>
      </c>
      <c r="O19" s="43">
        <v>-26.689999999999998</v>
      </c>
      <c r="P19" s="43">
        <v>266.07000000000005</v>
      </c>
      <c r="Q19" s="43">
        <v>-54.520000000000039</v>
      </c>
      <c r="S19" s="43">
        <f t="shared" si="1"/>
        <v>0</v>
      </c>
      <c r="T19" s="43">
        <f t="shared" si="2"/>
        <v>0</v>
      </c>
      <c r="U19" s="43">
        <f t="shared" si="3"/>
        <v>0</v>
      </c>
      <c r="V19" s="155">
        <f t="shared" si="6"/>
        <v>410.45</v>
      </c>
    </row>
    <row r="20" spans="1:22" ht="17.25" customHeight="1">
      <c r="A20" s="28" t="s">
        <v>190</v>
      </c>
      <c r="B20" s="43">
        <v>0</v>
      </c>
      <c r="C20" s="43">
        <v>0</v>
      </c>
      <c r="D20" s="43">
        <v>0</v>
      </c>
      <c r="E20" s="55">
        <v>22.06</v>
      </c>
      <c r="F20" s="43">
        <v>51.489999999999419</v>
      </c>
      <c r="G20" s="43">
        <v>876.58000000000015</v>
      </c>
      <c r="H20" s="43">
        <v>809.19</v>
      </c>
      <c r="I20" s="55">
        <v>2904.91</v>
      </c>
      <c r="J20" s="43">
        <v>1460.95</v>
      </c>
      <c r="K20" s="43">
        <v>683.12</v>
      </c>
      <c r="L20" s="43">
        <v>452.61</v>
      </c>
      <c r="M20" s="55">
        <v>1547.95</v>
      </c>
      <c r="N20" s="43">
        <v>363.09</v>
      </c>
      <c r="O20" s="43">
        <v>197.79000000000002</v>
      </c>
      <c r="P20" s="43">
        <v>436.19000000000005</v>
      </c>
      <c r="Q20" s="43">
        <v>1945.83</v>
      </c>
      <c r="S20" s="43">
        <f t="shared" si="1"/>
        <v>22.06</v>
      </c>
      <c r="T20" s="43">
        <f t="shared" si="2"/>
        <v>4642.17</v>
      </c>
      <c r="U20" s="43">
        <f t="shared" si="3"/>
        <v>4144.63</v>
      </c>
      <c r="V20" s="155">
        <f t="shared" si="6"/>
        <v>2942.9</v>
      </c>
    </row>
    <row r="21" spans="1:22" ht="17.25" customHeight="1">
      <c r="A21" s="28" t="s">
        <v>191</v>
      </c>
      <c r="B21" s="43">
        <v>-49.310000000000016</v>
      </c>
      <c r="C21" s="43">
        <v>-65.13</v>
      </c>
      <c r="D21" s="43">
        <v>-22.35</v>
      </c>
      <c r="E21" s="55">
        <v>810.8</v>
      </c>
      <c r="F21" s="43">
        <v>102.34999999999987</v>
      </c>
      <c r="G21" s="43">
        <v>1356.68</v>
      </c>
      <c r="H21" s="43">
        <v>886.55999999999983</v>
      </c>
      <c r="I21" s="55">
        <v>-2501.4499999999998</v>
      </c>
      <c r="J21" s="43">
        <v>-1172.98</v>
      </c>
      <c r="K21" s="43">
        <v>-244.64000000000001</v>
      </c>
      <c r="L21" s="43">
        <v>146.91</v>
      </c>
      <c r="M21" s="55">
        <v>537.28</v>
      </c>
      <c r="N21" s="43">
        <v>-487.98</v>
      </c>
      <c r="O21" s="43">
        <v>66.5</v>
      </c>
      <c r="P21" s="43">
        <v>-74.45999999999998</v>
      </c>
      <c r="Q21" s="43">
        <v>-1085.47</v>
      </c>
      <c r="S21" s="43">
        <f t="shared" si="1"/>
        <v>674.01</v>
      </c>
      <c r="T21" s="43">
        <f t="shared" si="2"/>
        <v>-155.86000000000013</v>
      </c>
      <c r="U21" s="43">
        <f t="shared" si="3"/>
        <v>-733.43000000000006</v>
      </c>
      <c r="V21" s="155">
        <f t="shared" si="6"/>
        <v>-1581.41</v>
      </c>
    </row>
    <row r="22" spans="1:22" ht="17.25" customHeight="1">
      <c r="A22" s="28" t="s">
        <v>79</v>
      </c>
      <c r="B22" s="43">
        <v>100.72</v>
      </c>
      <c r="C22" s="43">
        <v>95.63</v>
      </c>
      <c r="D22" s="43">
        <v>114.51000000000002</v>
      </c>
      <c r="E22" s="55">
        <v>201.78</v>
      </c>
      <c r="F22" s="43">
        <v>201.91000000000003</v>
      </c>
      <c r="G22" s="43">
        <v>187.37</v>
      </c>
      <c r="H22" s="43">
        <v>260.83999999999997</v>
      </c>
      <c r="I22" s="55">
        <v>279.93</v>
      </c>
      <c r="J22" s="43">
        <v>301.02</v>
      </c>
      <c r="K22" s="43">
        <v>359.44000000000005</v>
      </c>
      <c r="L22" s="43">
        <v>355.65999999999997</v>
      </c>
      <c r="M22" s="55">
        <v>334.53000000000003</v>
      </c>
      <c r="N22" s="43">
        <v>379.5</v>
      </c>
      <c r="O22" s="43">
        <v>413.03</v>
      </c>
      <c r="P22" s="43">
        <v>424.61000000000013</v>
      </c>
      <c r="Q22" s="43">
        <v>404.5</v>
      </c>
      <c r="S22" s="43">
        <f t="shared" si="1"/>
        <v>512.64</v>
      </c>
      <c r="T22" s="43">
        <f t="shared" si="2"/>
        <v>930.05</v>
      </c>
      <c r="U22" s="43">
        <f t="shared" si="3"/>
        <v>1350.65</v>
      </c>
      <c r="V22" s="155">
        <f t="shared" si="6"/>
        <v>1621.64</v>
      </c>
    </row>
    <row r="23" spans="1:22" ht="17.25" customHeight="1">
      <c r="A23" s="28" t="s">
        <v>80</v>
      </c>
      <c r="B23" s="43">
        <v>11.979999999999999</v>
      </c>
      <c r="C23" s="43">
        <v>14.01</v>
      </c>
      <c r="D23" s="43">
        <v>26.329999999999995</v>
      </c>
      <c r="E23" s="55">
        <v>21.96</v>
      </c>
      <c r="F23" s="43">
        <v>24.529999999999994</v>
      </c>
      <c r="G23" s="43">
        <v>27.410000000000004</v>
      </c>
      <c r="H23" s="43">
        <v>30.339999999999996</v>
      </c>
      <c r="I23" s="55">
        <v>40.6</v>
      </c>
      <c r="J23" s="43">
        <v>37.200000000000003</v>
      </c>
      <c r="K23" s="43">
        <v>38.269999999999996</v>
      </c>
      <c r="L23" s="43">
        <v>41.38</v>
      </c>
      <c r="M23" s="55">
        <v>712.11</v>
      </c>
      <c r="N23" s="43">
        <v>51.02</v>
      </c>
      <c r="O23" s="43">
        <v>55.43</v>
      </c>
      <c r="P23" s="43">
        <v>54.11999999999999</v>
      </c>
      <c r="Q23" s="43">
        <v>53.120000000000005</v>
      </c>
      <c r="R23" s="43"/>
      <c r="S23" s="43">
        <f t="shared" si="1"/>
        <v>74.28</v>
      </c>
      <c r="T23" s="43">
        <f t="shared" si="2"/>
        <v>122.88</v>
      </c>
      <c r="U23" s="43">
        <f t="shared" si="3"/>
        <v>828.96</v>
      </c>
      <c r="V23" s="155">
        <f t="shared" si="6"/>
        <v>213.69</v>
      </c>
    </row>
    <row r="24" spans="1:22" ht="17.25" customHeight="1">
      <c r="A24" s="28" t="s">
        <v>81</v>
      </c>
      <c r="B24" s="43">
        <v>96.740000000000009</v>
      </c>
      <c r="C24" s="43">
        <v>99.8</v>
      </c>
      <c r="D24" s="43">
        <v>169.09</v>
      </c>
      <c r="E24" s="55">
        <v>219.2</v>
      </c>
      <c r="F24" s="43">
        <v>215.1</v>
      </c>
      <c r="G24" s="43">
        <v>326.35000000000002</v>
      </c>
      <c r="H24" s="43">
        <v>267.5</v>
      </c>
      <c r="I24" s="55">
        <v>352.96</v>
      </c>
      <c r="J24" s="43">
        <v>567.83999999999992</v>
      </c>
      <c r="K24" s="43">
        <v>266.39999999999998</v>
      </c>
      <c r="L24" s="43">
        <v>299.95999999999998</v>
      </c>
      <c r="M24" s="55">
        <v>398.44</v>
      </c>
      <c r="N24" s="43">
        <v>272.83999999999997</v>
      </c>
      <c r="O24" s="43">
        <v>272.52000000000004</v>
      </c>
      <c r="P24" s="43">
        <v>307.64</v>
      </c>
      <c r="Q24" s="43">
        <v>325.8599999999999</v>
      </c>
      <c r="S24" s="43">
        <f t="shared" si="1"/>
        <v>584.82999999999993</v>
      </c>
      <c r="T24" s="43">
        <f t="shared" si="2"/>
        <v>1161.9100000000001</v>
      </c>
      <c r="U24" s="43">
        <f t="shared" si="3"/>
        <v>1532.6399999999999</v>
      </c>
      <c r="V24" s="155">
        <f t="shared" si="6"/>
        <v>1178.8599999999999</v>
      </c>
    </row>
    <row r="25" spans="1:22" s="44" customFormat="1" ht="17.25" customHeight="1">
      <c r="A25" s="29" t="s">
        <v>102</v>
      </c>
      <c r="B25" s="41">
        <f>SUM(B17:B24)</f>
        <v>1103.2800000000002</v>
      </c>
      <c r="C25" s="41">
        <f t="shared" ref="C25:Q25" si="7">SUM(C17:C24)</f>
        <v>1058.32</v>
      </c>
      <c r="D25" s="41">
        <f t="shared" si="7"/>
        <v>1536.9099999999999</v>
      </c>
      <c r="E25" s="42">
        <f t="shared" si="7"/>
        <v>2451.0299999999997</v>
      </c>
      <c r="F25" s="41">
        <f t="shared" si="7"/>
        <v>1646.7799999999991</v>
      </c>
      <c r="G25" s="41">
        <f t="shared" si="7"/>
        <v>3787.33</v>
      </c>
      <c r="H25" s="41">
        <f t="shared" si="7"/>
        <v>3227.76</v>
      </c>
      <c r="I25" s="42">
        <f t="shared" si="7"/>
        <v>2080.4599999999996</v>
      </c>
      <c r="J25" s="41">
        <f t="shared" si="7"/>
        <v>2237.92</v>
      </c>
      <c r="K25" s="41">
        <f t="shared" si="7"/>
        <v>2152.62</v>
      </c>
      <c r="L25" s="41">
        <f t="shared" si="7"/>
        <v>2414.3100000000004</v>
      </c>
      <c r="M25" s="42">
        <f t="shared" si="7"/>
        <v>4719.04</v>
      </c>
      <c r="N25" s="41">
        <f t="shared" si="7"/>
        <v>2008.7499999999998</v>
      </c>
      <c r="O25" s="41">
        <f t="shared" si="7"/>
        <v>2295.98</v>
      </c>
      <c r="P25" s="41">
        <f t="shared" si="7"/>
        <v>2792.0699999999997</v>
      </c>
      <c r="Q25" s="41">
        <f t="shared" si="7"/>
        <v>3006.7199999999993</v>
      </c>
      <c r="S25" s="41">
        <f>SUM(B25:E25)</f>
        <v>6149.54</v>
      </c>
      <c r="T25" s="41">
        <f>SUM(F25:I25)</f>
        <v>10742.329999999998</v>
      </c>
      <c r="U25" s="41">
        <f>SUM(J25:M25)</f>
        <v>11523.89</v>
      </c>
      <c r="V25" s="41">
        <f t="shared" si="6"/>
        <v>10103.519999999999</v>
      </c>
    </row>
    <row r="26" spans="1:22" s="44" customFormat="1" ht="17.25" customHeight="1">
      <c r="A26" s="29"/>
      <c r="B26" s="41"/>
      <c r="C26" s="41"/>
      <c r="D26" s="41"/>
      <c r="E26" s="42"/>
      <c r="F26" s="41"/>
      <c r="G26" s="41"/>
      <c r="H26" s="41"/>
      <c r="I26" s="42"/>
      <c r="J26" s="41"/>
      <c r="K26" s="41"/>
      <c r="L26" s="41"/>
      <c r="M26" s="42"/>
      <c r="N26" s="41"/>
      <c r="O26" s="41"/>
      <c r="P26" s="41"/>
      <c r="Q26" s="41"/>
      <c r="S26" s="41"/>
      <c r="T26" s="41"/>
      <c r="U26" s="41"/>
      <c r="V26" s="155">
        <f t="shared" si="6"/>
        <v>0</v>
      </c>
    </row>
    <row r="27" spans="1:22" s="44" customFormat="1" ht="17.25" customHeight="1">
      <c r="A27" s="79" t="s">
        <v>104</v>
      </c>
      <c r="B27" s="41">
        <f>B14-B25</f>
        <v>540.66999999999985</v>
      </c>
      <c r="C27" s="41">
        <f t="shared" ref="C27:Q27" si="8">C14-C25</f>
        <v>545.61000000000013</v>
      </c>
      <c r="D27" s="41">
        <f t="shared" si="8"/>
        <v>792.2800000000002</v>
      </c>
      <c r="E27" s="42">
        <f t="shared" si="8"/>
        <v>-251.05999999999949</v>
      </c>
      <c r="F27" s="41">
        <f t="shared" si="8"/>
        <v>537.62000000000057</v>
      </c>
      <c r="G27" s="41">
        <f t="shared" si="8"/>
        <v>-2854.5299999999997</v>
      </c>
      <c r="H27" s="41">
        <f t="shared" si="8"/>
        <v>59.369999999999436</v>
      </c>
      <c r="I27" s="42">
        <f t="shared" si="8"/>
        <v>-206.79999999999973</v>
      </c>
      <c r="J27" s="41">
        <f t="shared" si="8"/>
        <v>660.87000000000035</v>
      </c>
      <c r="K27" s="41">
        <f t="shared" si="8"/>
        <v>52.590000000000146</v>
      </c>
      <c r="L27" s="41">
        <f t="shared" si="8"/>
        <v>131.88999999999942</v>
      </c>
      <c r="M27" s="42">
        <f t="shared" si="8"/>
        <v>-2190.88</v>
      </c>
      <c r="N27" s="41">
        <f t="shared" si="8"/>
        <v>240.34000000000037</v>
      </c>
      <c r="O27" s="41">
        <f t="shared" si="8"/>
        <v>155.94999999999982</v>
      </c>
      <c r="P27" s="41">
        <f t="shared" si="8"/>
        <v>86.170000000000982</v>
      </c>
      <c r="Q27" s="41">
        <f t="shared" si="8"/>
        <v>25.890000000001692</v>
      </c>
      <c r="S27" s="41">
        <f>SUM(B27:E27)</f>
        <v>1627.5000000000007</v>
      </c>
      <c r="T27" s="41">
        <f>SUM(F27:I27)</f>
        <v>-2464.3399999999992</v>
      </c>
      <c r="U27" s="41">
        <f>SUM(J27:M27)</f>
        <v>-1345.5300000000002</v>
      </c>
      <c r="V27" s="41">
        <f t="shared" si="6"/>
        <v>508.35000000000286</v>
      </c>
    </row>
    <row r="28" spans="1:22" ht="17.25" customHeight="1">
      <c r="A28" s="28" t="s">
        <v>82</v>
      </c>
      <c r="B28" s="43">
        <v>150.86999999999998</v>
      </c>
      <c r="C28" s="43">
        <v>100.19</v>
      </c>
      <c r="D28" s="43">
        <v>173.91</v>
      </c>
      <c r="E28" s="55">
        <v>168.88</v>
      </c>
      <c r="F28" s="43">
        <v>149.30000000000001</v>
      </c>
      <c r="G28" s="43">
        <v>172.09</v>
      </c>
      <c r="H28" s="43">
        <v>54.11</v>
      </c>
      <c r="I28" s="55">
        <v>13.11</v>
      </c>
      <c r="J28" s="43">
        <v>21.06</v>
      </c>
      <c r="K28" s="43">
        <v>70.679999999999993</v>
      </c>
      <c r="L28" s="43">
        <v>72.81</v>
      </c>
      <c r="M28" s="55">
        <v>-10.82</v>
      </c>
      <c r="N28" s="43">
        <v>7.59</v>
      </c>
      <c r="O28" s="43">
        <v>34.25</v>
      </c>
      <c r="P28" s="43">
        <v>4.519999999999996</v>
      </c>
      <c r="Q28" s="43">
        <v>90.27</v>
      </c>
      <c r="S28" s="43">
        <f t="shared" si="1"/>
        <v>593.84999999999991</v>
      </c>
      <c r="T28" s="43">
        <f t="shared" si="2"/>
        <v>388.61</v>
      </c>
      <c r="U28" s="43">
        <f t="shared" si="3"/>
        <v>153.73000000000002</v>
      </c>
      <c r="V28" s="155">
        <f t="shared" si="6"/>
        <v>136.63</v>
      </c>
    </row>
    <row r="29" spans="1:22" s="44" customFormat="1" ht="17.25" customHeight="1">
      <c r="A29" s="79" t="s">
        <v>105</v>
      </c>
      <c r="B29" s="41">
        <f>B27+B28</f>
        <v>691.53999999999985</v>
      </c>
      <c r="C29" s="41">
        <f t="shared" ref="C29:O29" si="9">C27+C28</f>
        <v>645.80000000000018</v>
      </c>
      <c r="D29" s="41">
        <f t="shared" si="9"/>
        <v>966.19000000000017</v>
      </c>
      <c r="E29" s="42">
        <f t="shared" si="9"/>
        <v>-82.179999999999495</v>
      </c>
      <c r="F29" s="41">
        <f t="shared" si="9"/>
        <v>686.92000000000053</v>
      </c>
      <c r="G29" s="41">
        <f t="shared" si="9"/>
        <v>-2682.4399999999996</v>
      </c>
      <c r="H29" s="41">
        <f t="shared" si="9"/>
        <v>113.47999999999944</v>
      </c>
      <c r="I29" s="42">
        <f t="shared" si="9"/>
        <v>-193.68999999999971</v>
      </c>
      <c r="J29" s="41">
        <f t="shared" si="9"/>
        <v>681.93000000000029</v>
      </c>
      <c r="K29" s="41">
        <f t="shared" si="9"/>
        <v>123.27000000000014</v>
      </c>
      <c r="L29" s="41">
        <f t="shared" si="9"/>
        <v>204.69999999999942</v>
      </c>
      <c r="M29" s="42">
        <f t="shared" si="9"/>
        <v>-2201.7000000000003</v>
      </c>
      <c r="N29" s="41">
        <f t="shared" si="9"/>
        <v>247.93000000000038</v>
      </c>
      <c r="O29" s="41">
        <f t="shared" si="9"/>
        <v>190.19999999999982</v>
      </c>
      <c r="P29" s="41">
        <f>P27+P28</f>
        <v>90.690000000000978</v>
      </c>
      <c r="Q29" s="41">
        <f>Q27+Q28</f>
        <v>116.16000000000169</v>
      </c>
      <c r="S29" s="43">
        <f>SUM(B29:E29)</f>
        <v>2221.3500000000008</v>
      </c>
      <c r="T29" s="43">
        <f>SUM(F29:I29)</f>
        <v>-2075.7299999999996</v>
      </c>
      <c r="U29" s="43">
        <f>SUM(J29:M29)</f>
        <v>-1191.8000000000004</v>
      </c>
      <c r="V29" s="155">
        <f t="shared" si="6"/>
        <v>644.98000000000286</v>
      </c>
    </row>
    <row r="30" spans="1:22" ht="17.25" customHeight="1">
      <c r="A30" s="28" t="s">
        <v>192</v>
      </c>
      <c r="B30" s="43">
        <v>0</v>
      </c>
      <c r="C30" s="43">
        <v>-152.91999999999999</v>
      </c>
      <c r="D30" s="43">
        <v>0</v>
      </c>
      <c r="E30" s="55">
        <v>0</v>
      </c>
      <c r="F30" s="43">
        <v>7523.5899999999992</v>
      </c>
      <c r="G30" s="43">
        <v>452.3</v>
      </c>
      <c r="H30" s="43">
        <v>0</v>
      </c>
      <c r="I30" s="55">
        <v>0</v>
      </c>
      <c r="J30" s="43">
        <v>0</v>
      </c>
      <c r="K30" s="43">
        <v>-64.34</v>
      </c>
      <c r="L30" s="43">
        <v>-3539.8</v>
      </c>
      <c r="M30" s="55">
        <v>1517.55</v>
      </c>
      <c r="N30" s="43">
        <v>0</v>
      </c>
      <c r="O30" s="43">
        <v>0</v>
      </c>
      <c r="P30" s="43">
        <v>0</v>
      </c>
      <c r="Q30" s="43">
        <v>0</v>
      </c>
      <c r="S30" s="43">
        <f t="shared" si="1"/>
        <v>-152.91999999999999</v>
      </c>
      <c r="T30" s="43">
        <f t="shared" si="2"/>
        <v>7975.8899999999994</v>
      </c>
      <c r="U30" s="43">
        <f t="shared" si="3"/>
        <v>-2086.59</v>
      </c>
      <c r="V30" s="155">
        <f t="shared" si="6"/>
        <v>0</v>
      </c>
    </row>
    <row r="31" spans="1:22" s="44" customFormat="1" ht="17.25" customHeight="1">
      <c r="A31" s="29" t="s">
        <v>103</v>
      </c>
      <c r="B31" s="41">
        <f>B29+B30</f>
        <v>691.53999999999985</v>
      </c>
      <c r="C31" s="41">
        <f t="shared" ref="C31:Q31" si="10">C29+C30</f>
        <v>492.88000000000022</v>
      </c>
      <c r="D31" s="41">
        <f t="shared" si="10"/>
        <v>966.19000000000017</v>
      </c>
      <c r="E31" s="42">
        <f t="shared" si="10"/>
        <v>-82.179999999999495</v>
      </c>
      <c r="F31" s="41">
        <f t="shared" si="10"/>
        <v>8210.51</v>
      </c>
      <c r="G31" s="41">
        <f t="shared" si="10"/>
        <v>-2230.1399999999994</v>
      </c>
      <c r="H31" s="41">
        <f t="shared" si="10"/>
        <v>113.47999999999944</v>
      </c>
      <c r="I31" s="42">
        <f t="shared" si="10"/>
        <v>-193.68999999999971</v>
      </c>
      <c r="J31" s="41">
        <f t="shared" si="10"/>
        <v>681.93000000000029</v>
      </c>
      <c r="K31" s="41">
        <f t="shared" si="10"/>
        <v>58.930000000000135</v>
      </c>
      <c r="L31" s="41">
        <f t="shared" si="10"/>
        <v>-3335.1000000000008</v>
      </c>
      <c r="M31" s="42">
        <f t="shared" si="10"/>
        <v>-684.15000000000032</v>
      </c>
      <c r="N31" s="41">
        <f t="shared" si="10"/>
        <v>247.93000000000038</v>
      </c>
      <c r="O31" s="41">
        <f t="shared" si="10"/>
        <v>190.19999999999982</v>
      </c>
      <c r="P31" s="41">
        <f t="shared" si="10"/>
        <v>90.690000000000978</v>
      </c>
      <c r="Q31" s="41">
        <f t="shared" si="10"/>
        <v>116.16000000000169</v>
      </c>
      <c r="S31" s="41">
        <f>SUM(B31:E31)</f>
        <v>2068.4300000000007</v>
      </c>
      <c r="T31" s="41">
        <f>SUM(F31:I31)</f>
        <v>5900.1600000000008</v>
      </c>
      <c r="U31" s="41">
        <f>SUM(J31:M31)</f>
        <v>-3278.3900000000003</v>
      </c>
      <c r="V31" s="41">
        <f t="shared" si="6"/>
        <v>644.98000000000286</v>
      </c>
    </row>
    <row r="32" spans="1:22" s="44" customFormat="1" ht="17.25" customHeight="1">
      <c r="A32" s="29"/>
      <c r="B32" s="41"/>
      <c r="C32" s="41"/>
      <c r="D32" s="41"/>
      <c r="E32" s="42"/>
      <c r="F32" s="41"/>
      <c r="G32" s="41"/>
      <c r="H32" s="41"/>
      <c r="I32" s="42"/>
      <c r="J32" s="41"/>
      <c r="K32" s="41"/>
      <c r="L32" s="41"/>
      <c r="M32" s="42"/>
      <c r="N32" s="41"/>
      <c r="O32" s="41"/>
      <c r="P32" s="41"/>
      <c r="Q32" s="41"/>
      <c r="S32" s="41"/>
      <c r="T32" s="41"/>
      <c r="U32" s="41"/>
      <c r="V32" s="155">
        <f t="shared" si="6"/>
        <v>0</v>
      </c>
    </row>
    <row r="33" spans="1:22" ht="17.25" customHeight="1">
      <c r="A33" s="28" t="s">
        <v>83</v>
      </c>
      <c r="B33" s="43">
        <v>166.64000000000001</v>
      </c>
      <c r="C33" s="43">
        <v>66.709999999999994</v>
      </c>
      <c r="D33" s="43">
        <v>281.77</v>
      </c>
      <c r="E33" s="55">
        <v>227.4</v>
      </c>
      <c r="F33" s="43">
        <v>139.93</v>
      </c>
      <c r="G33" s="43">
        <v>205.02000000000004</v>
      </c>
      <c r="H33" s="43">
        <v>-144.52000000000001</v>
      </c>
      <c r="I33" s="55">
        <v>-197.74</v>
      </c>
      <c r="J33" s="43">
        <v>75.239999999999995</v>
      </c>
      <c r="K33" s="43">
        <v>-42.47</v>
      </c>
      <c r="L33" s="43">
        <v>-26.110000000000003</v>
      </c>
      <c r="M33" s="55">
        <v>48.019999999999996</v>
      </c>
      <c r="N33" s="43">
        <v>0.71</v>
      </c>
      <c r="O33" s="43">
        <v>47.11</v>
      </c>
      <c r="P33" s="43">
        <v>-33.89</v>
      </c>
      <c r="Q33" s="43">
        <v>13.59</v>
      </c>
      <c r="S33" s="43">
        <f t="shared" si="1"/>
        <v>742.52</v>
      </c>
      <c r="T33" s="43">
        <f t="shared" si="2"/>
        <v>2.6900000000000261</v>
      </c>
      <c r="U33" s="43">
        <f t="shared" si="3"/>
        <v>54.679999999999993</v>
      </c>
      <c r="V33" s="155">
        <f t="shared" si="6"/>
        <v>27.52</v>
      </c>
    </row>
    <row r="34" spans="1:22" ht="17.25" customHeight="1">
      <c r="A34" s="28" t="s">
        <v>84</v>
      </c>
      <c r="B34" s="43">
        <v>-32.53</v>
      </c>
      <c r="C34" s="43">
        <v>31.65</v>
      </c>
      <c r="D34" s="43">
        <v>-70.94</v>
      </c>
      <c r="E34" s="55">
        <v>-264.51</v>
      </c>
      <c r="F34" s="43">
        <v>-84.889999999999958</v>
      </c>
      <c r="G34" s="43">
        <v>-898.7700000000001</v>
      </c>
      <c r="H34" s="43">
        <v>40.01</v>
      </c>
      <c r="I34" s="55">
        <v>199.75</v>
      </c>
      <c r="J34" s="43">
        <v>97.91</v>
      </c>
      <c r="K34" s="43">
        <v>67.69</v>
      </c>
      <c r="L34" s="43">
        <v>-807.33</v>
      </c>
      <c r="M34" s="55">
        <v>-463.03000000000003</v>
      </c>
      <c r="N34" s="43">
        <v>65.73</v>
      </c>
      <c r="O34" s="43">
        <v>-14.340000000000003</v>
      </c>
      <c r="P34" s="43">
        <v>85.96</v>
      </c>
      <c r="Q34" s="43">
        <v>0.45000000000001705</v>
      </c>
      <c r="S34" s="43">
        <f t="shared" si="1"/>
        <v>-336.33</v>
      </c>
      <c r="T34" s="43">
        <f t="shared" si="2"/>
        <v>-743.90000000000009</v>
      </c>
      <c r="U34" s="43">
        <f t="shared" si="3"/>
        <v>-1104.76</v>
      </c>
      <c r="V34" s="155">
        <f t="shared" si="6"/>
        <v>137.80000000000001</v>
      </c>
    </row>
    <row r="35" spans="1:22" ht="17.25" customHeight="1">
      <c r="A35" s="28" t="s">
        <v>193</v>
      </c>
      <c r="B35" s="43">
        <v>0</v>
      </c>
      <c r="C35" s="43">
        <v>0</v>
      </c>
      <c r="D35" s="43">
        <v>0</v>
      </c>
      <c r="E35" s="55">
        <v>0</v>
      </c>
      <c r="F35" s="43">
        <v>0</v>
      </c>
      <c r="G35" s="43">
        <v>0</v>
      </c>
      <c r="H35" s="43">
        <v>-3327.38</v>
      </c>
      <c r="I35" s="55">
        <v>0.17</v>
      </c>
      <c r="J35" s="43">
        <v>0</v>
      </c>
      <c r="K35" s="43">
        <v>-14.49</v>
      </c>
      <c r="L35" s="43">
        <v>-124.07000000000001</v>
      </c>
      <c r="M35" s="55">
        <v>-406.23</v>
      </c>
      <c r="N35" s="43">
        <v>0.01</v>
      </c>
      <c r="O35" s="43">
        <v>-5.54</v>
      </c>
      <c r="P35" s="43">
        <v>6.0000000000000497E-2</v>
      </c>
      <c r="Q35" s="43">
        <v>-0.32000000000000028</v>
      </c>
      <c r="S35" s="43">
        <f t="shared" si="1"/>
        <v>0</v>
      </c>
      <c r="T35" s="43">
        <f t="shared" si="2"/>
        <v>-3327.21</v>
      </c>
      <c r="U35" s="43">
        <f t="shared" si="3"/>
        <v>-544.79</v>
      </c>
      <c r="V35" s="155">
        <f t="shared" si="6"/>
        <v>-5.79</v>
      </c>
    </row>
    <row r="36" spans="1:22" s="44" customFormat="1" ht="17.25" customHeight="1">
      <c r="A36" s="29" t="s">
        <v>106</v>
      </c>
      <c r="B36" s="41">
        <f>SUM(B33:B35)</f>
        <v>134.11000000000001</v>
      </c>
      <c r="C36" s="41">
        <f t="shared" ref="C36:Q36" si="11">SUM(C33:C35)</f>
        <v>98.359999999999985</v>
      </c>
      <c r="D36" s="41">
        <f t="shared" si="11"/>
        <v>210.82999999999998</v>
      </c>
      <c r="E36" s="42">
        <f t="shared" si="11"/>
        <v>-37.109999999999985</v>
      </c>
      <c r="F36" s="41">
        <f t="shared" si="11"/>
        <v>55.040000000000049</v>
      </c>
      <c r="G36" s="41">
        <f t="shared" si="11"/>
        <v>-693.75</v>
      </c>
      <c r="H36" s="41">
        <f t="shared" si="11"/>
        <v>-3431.8900000000003</v>
      </c>
      <c r="I36" s="42">
        <f t="shared" si="11"/>
        <v>2.1799999999999908</v>
      </c>
      <c r="J36" s="41">
        <f t="shared" si="11"/>
        <v>173.14999999999998</v>
      </c>
      <c r="K36" s="41">
        <f t="shared" si="11"/>
        <v>10.729999999999999</v>
      </c>
      <c r="L36" s="41">
        <f t="shared" si="11"/>
        <v>-957.5100000000001</v>
      </c>
      <c r="M36" s="42">
        <f t="shared" si="11"/>
        <v>-821.24</v>
      </c>
      <c r="N36" s="41">
        <f t="shared" si="11"/>
        <v>66.45</v>
      </c>
      <c r="O36" s="41">
        <f t="shared" si="11"/>
        <v>27.229999999999997</v>
      </c>
      <c r="P36" s="41">
        <f t="shared" si="11"/>
        <v>52.129999999999995</v>
      </c>
      <c r="Q36" s="41">
        <f t="shared" si="11"/>
        <v>13.720000000000017</v>
      </c>
      <c r="S36" s="43">
        <f>SUM(B36:E36)</f>
        <v>406.18999999999994</v>
      </c>
      <c r="T36" s="43">
        <f>SUM(F36:I36)</f>
        <v>-4068.4200000000005</v>
      </c>
      <c r="U36" s="43">
        <f>SUM(J36:M36)</f>
        <v>-1594.8700000000001</v>
      </c>
      <c r="V36" s="155">
        <f t="shared" si="6"/>
        <v>159.53000000000003</v>
      </c>
    </row>
    <row r="37" spans="1:22" s="44" customFormat="1" ht="17.25" customHeight="1">
      <c r="A37" s="29"/>
      <c r="B37" s="41"/>
      <c r="C37" s="41"/>
      <c r="D37" s="41"/>
      <c r="E37" s="42"/>
      <c r="F37" s="41"/>
      <c r="G37" s="41"/>
      <c r="H37" s="41"/>
      <c r="I37" s="42"/>
      <c r="J37" s="41"/>
      <c r="K37" s="41"/>
      <c r="L37" s="41"/>
      <c r="M37" s="42"/>
      <c r="N37" s="41"/>
      <c r="O37" s="41"/>
      <c r="P37" s="41"/>
      <c r="Q37" s="41"/>
      <c r="S37" s="43"/>
      <c r="T37" s="43"/>
      <c r="U37" s="43"/>
      <c r="V37" s="155">
        <f t="shared" si="6"/>
        <v>0</v>
      </c>
    </row>
    <row r="38" spans="1:22" s="44" customFormat="1" ht="17.25" customHeight="1">
      <c r="A38" s="142" t="s">
        <v>233</v>
      </c>
      <c r="B38" s="93">
        <v>-23.63</v>
      </c>
      <c r="C38" s="93">
        <v>31.959999999999798</v>
      </c>
      <c r="D38" s="93">
        <v>132.6</v>
      </c>
      <c r="E38" s="123">
        <v>195.6</v>
      </c>
      <c r="F38" s="41"/>
      <c r="G38" s="41"/>
      <c r="H38" s="41"/>
      <c r="I38" s="42"/>
      <c r="J38" s="41"/>
      <c r="K38" s="41"/>
      <c r="L38" s="41"/>
      <c r="M38" s="42"/>
      <c r="N38" s="41"/>
      <c r="O38" s="41"/>
      <c r="P38" s="41"/>
      <c r="Q38" s="41"/>
      <c r="S38" s="43">
        <f>SUM(B38:E38)</f>
        <v>336.52999999999975</v>
      </c>
      <c r="T38" s="43">
        <f>SUM(F38:I38)</f>
        <v>0</v>
      </c>
      <c r="U38" s="43">
        <f>SUM(J38:M38)</f>
        <v>0</v>
      </c>
      <c r="V38" s="155">
        <f t="shared" si="6"/>
        <v>0</v>
      </c>
    </row>
    <row r="39" spans="1:22" s="44" customFormat="1" ht="17.25" customHeight="1">
      <c r="A39" s="29" t="s">
        <v>107</v>
      </c>
      <c r="B39" s="41">
        <f>B31-B36+B38</f>
        <v>533.79999999999984</v>
      </c>
      <c r="C39" s="41">
        <f t="shared" ref="C39:E39" si="12">C31-C36+C38</f>
        <v>426.48</v>
      </c>
      <c r="D39" s="41">
        <f t="shared" si="12"/>
        <v>887.96000000000015</v>
      </c>
      <c r="E39" s="41">
        <f t="shared" si="12"/>
        <v>150.53000000000048</v>
      </c>
      <c r="F39" s="41">
        <f t="shared" ref="F39:Q39" si="13">F31-F36</f>
        <v>8155.47</v>
      </c>
      <c r="G39" s="41">
        <f t="shared" si="13"/>
        <v>-1536.3899999999994</v>
      </c>
      <c r="H39" s="41">
        <f t="shared" si="13"/>
        <v>3545.37</v>
      </c>
      <c r="I39" s="42">
        <f t="shared" si="13"/>
        <v>-195.86999999999969</v>
      </c>
      <c r="J39" s="41">
        <f t="shared" si="13"/>
        <v>508.78000000000031</v>
      </c>
      <c r="K39" s="41">
        <f t="shared" si="13"/>
        <v>48.200000000000138</v>
      </c>
      <c r="L39" s="41">
        <f t="shared" si="13"/>
        <v>-2377.5900000000006</v>
      </c>
      <c r="M39" s="42">
        <f t="shared" si="13"/>
        <v>137.08999999999969</v>
      </c>
      <c r="N39" s="41">
        <f t="shared" si="13"/>
        <v>181.48000000000036</v>
      </c>
      <c r="O39" s="41">
        <f t="shared" si="13"/>
        <v>162.96999999999983</v>
      </c>
      <c r="P39" s="41">
        <f t="shared" si="13"/>
        <v>38.560000000000983</v>
      </c>
      <c r="Q39" s="41">
        <f t="shared" si="13"/>
        <v>102.44000000000167</v>
      </c>
      <c r="S39" s="41">
        <f>SUM(B39:E39)</f>
        <v>1998.7700000000004</v>
      </c>
      <c r="T39" s="41">
        <f>SUM(F39:I39)</f>
        <v>9968.5800000000017</v>
      </c>
      <c r="U39" s="41">
        <f>SUM(J39:M39)</f>
        <v>-1683.5200000000004</v>
      </c>
      <c r="V39" s="41">
        <f t="shared" si="6"/>
        <v>485.45000000000277</v>
      </c>
    </row>
    <row r="40" spans="1:22" ht="17.25" customHeight="1">
      <c r="A40" s="28"/>
    </row>
    <row r="41" spans="1:22" ht="17.25" customHeight="1">
      <c r="A41" s="28"/>
      <c r="B41" s="43"/>
      <c r="C41" s="43"/>
      <c r="D41" s="43"/>
      <c r="E41" s="43"/>
      <c r="F41" s="43"/>
    </row>
  </sheetData>
  <mergeCells count="5">
    <mergeCell ref="B1:E1"/>
    <mergeCell ref="F1:I1"/>
    <mergeCell ref="J1:M1"/>
    <mergeCell ref="N1:Q1"/>
    <mergeCell ref="S1:V1"/>
  </mergeCells>
  <pageMargins left="0.7" right="0.7" top="0.75" bottom="0.75" header="0.3" footer="0.3"/>
  <pageSetup orientation="portrait" r:id="rId1"/>
  <ignoredErrors>
    <ignoredError sqref="S4:U39 V4:V3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J53"/>
  <sheetViews>
    <sheetView zoomScale="90" zoomScaleNormal="9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4" hidden="1" customWidth="1"/>
    <col min="6" max="8" width="9.33203125" style="10" hidden="1" customWidth="1"/>
    <col min="9" max="9" width="9.33203125" style="34" hidden="1" customWidth="1"/>
    <col min="10" max="12" width="9.33203125" style="10" customWidth="1"/>
    <col min="13" max="13" width="9.33203125" style="34" customWidth="1"/>
    <col min="14" max="18" width="9.33203125" style="10" customWidth="1"/>
    <col min="19" max="20" width="9.33203125" style="10" hidden="1" customWidth="1"/>
    <col min="21" max="22" width="19.33203125" style="10" customWidth="1"/>
    <col min="23" max="16384" width="8.6640625" style="10"/>
  </cols>
  <sheetData>
    <row r="1" spans="1:36" s="9" customFormat="1" ht="22.5" customHeight="1">
      <c r="A1" s="3"/>
      <c r="B1" s="166"/>
      <c r="C1" s="166"/>
      <c r="D1" s="166"/>
      <c r="E1" s="167"/>
      <c r="F1" s="168"/>
      <c r="G1" s="166"/>
      <c r="H1" s="166"/>
      <c r="I1" s="167"/>
      <c r="J1" s="168" t="s">
        <v>2</v>
      </c>
      <c r="K1" s="166"/>
      <c r="L1" s="166"/>
      <c r="M1" s="167"/>
      <c r="N1" s="168" t="s">
        <v>15</v>
      </c>
      <c r="O1" s="169"/>
      <c r="P1" s="169"/>
      <c r="Q1" s="169"/>
      <c r="R1" s="169"/>
      <c r="S1" s="159"/>
      <c r="T1" s="159"/>
      <c r="U1" s="166" t="s">
        <v>3</v>
      </c>
      <c r="V1" s="166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92" t="s">
        <v>16</v>
      </c>
      <c r="B2" s="18"/>
      <c r="C2" s="18"/>
      <c r="D2" s="18"/>
      <c r="E2" s="19"/>
      <c r="F2" s="18"/>
      <c r="G2" s="18"/>
      <c r="H2" s="18"/>
      <c r="I2" s="19"/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 t="s">
        <v>7</v>
      </c>
      <c r="R2" s="18"/>
      <c r="S2" s="18"/>
      <c r="T2" s="18"/>
      <c r="U2" s="18" t="s">
        <v>2</v>
      </c>
      <c r="V2" s="18" t="s">
        <v>15</v>
      </c>
    </row>
    <row r="3" spans="1:36" ht="17.25" customHeight="1">
      <c r="A3" s="20" t="s">
        <v>70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1"/>
      <c r="R3" s="23"/>
      <c r="S3" s="21"/>
      <c r="T3" s="21"/>
      <c r="U3" s="23"/>
      <c r="V3" s="23"/>
    </row>
    <row r="4" spans="1:36" s="44" customFormat="1" ht="17.25" customHeight="1">
      <c r="A4" s="80" t="s">
        <v>85</v>
      </c>
      <c r="B4" s="41"/>
      <c r="C4" s="41"/>
      <c r="D4" s="41"/>
      <c r="E4" s="42"/>
      <c r="F4" s="41"/>
      <c r="G4" s="41"/>
      <c r="H4" s="41"/>
      <c r="I4" s="42"/>
      <c r="J4" s="41">
        <f>'P&amp;L - SEBI Format'!J4</f>
        <v>1704.06</v>
      </c>
      <c r="K4" s="41">
        <f>'P&amp;L - SEBI Format'!K4</f>
        <v>1778.3200000000002</v>
      </c>
      <c r="L4" s="41">
        <f>'P&amp;L - SEBI Format'!L4</f>
        <v>1930.6599999999999</v>
      </c>
      <c r="M4" s="42">
        <f>'P&amp;L - SEBI Format'!M4</f>
        <v>1900.85</v>
      </c>
      <c r="N4" s="41">
        <f>'P&amp;L - SEBI Format'!N4</f>
        <v>1928.5</v>
      </c>
      <c r="O4" s="41">
        <f>'P&amp;L - SEBI Format'!O4</f>
        <v>2080.4299999999998</v>
      </c>
      <c r="P4" s="41">
        <f>'P&amp;L - SEBI Format'!P4</f>
        <v>2188.8400000000006</v>
      </c>
      <c r="Q4" s="41">
        <f>'P&amp;L - SEBI Format'!Q4</f>
        <v>2263.6000000000004</v>
      </c>
      <c r="R4" s="41"/>
      <c r="S4" s="41"/>
      <c r="T4" s="41"/>
      <c r="U4" s="41">
        <f>SUM(J4:M4)</f>
        <v>7313.8899999999994</v>
      </c>
      <c r="V4" s="41">
        <f>SUM(N4:Q4)</f>
        <v>8461.3700000000008</v>
      </c>
    </row>
    <row r="5" spans="1:36" ht="17.25" customHeight="1">
      <c r="A5" s="81" t="s">
        <v>86</v>
      </c>
      <c r="B5" s="38"/>
      <c r="C5" s="38"/>
      <c r="D5" s="38"/>
      <c r="E5" s="39"/>
      <c r="F5" s="38"/>
      <c r="G5" s="38"/>
      <c r="H5" s="38"/>
      <c r="I5" s="39"/>
      <c r="J5" s="43">
        <v>21</v>
      </c>
      <c r="K5" s="43">
        <v>22</v>
      </c>
      <c r="L5" s="43">
        <v>22</v>
      </c>
      <c r="M5" s="55">
        <v>42.819999999999993</v>
      </c>
      <c r="N5" s="43">
        <v>56.96</v>
      </c>
      <c r="O5" s="43">
        <v>98.517613886877299</v>
      </c>
      <c r="P5" s="43">
        <v>100.0337</v>
      </c>
      <c r="Q5" s="88">
        <v>112.21680902609216</v>
      </c>
      <c r="R5" s="43"/>
      <c r="S5" s="43"/>
      <c r="T5" s="43"/>
      <c r="U5" s="43">
        <f>SUM(J5:M5)</f>
        <v>107.82</v>
      </c>
      <c r="V5" s="155">
        <f t="shared" ref="V5:V10" si="0">SUM(N5:Q5)</f>
        <v>367.72812291296947</v>
      </c>
    </row>
    <row r="6" spans="1:36" ht="17.25" customHeight="1">
      <c r="A6" s="81" t="s">
        <v>96</v>
      </c>
      <c r="B6" s="38"/>
      <c r="C6" s="38"/>
      <c r="D6" s="38"/>
      <c r="E6" s="39"/>
      <c r="F6" s="38"/>
      <c r="G6" s="38"/>
      <c r="H6" s="38"/>
      <c r="I6" s="39"/>
      <c r="J6" s="43"/>
      <c r="K6" s="43"/>
      <c r="L6" s="43"/>
      <c r="M6" s="55"/>
      <c r="N6" s="9">
        <v>28.763299999999997</v>
      </c>
      <c r="O6" s="9">
        <v>19.106700000000004</v>
      </c>
      <c r="P6" s="9">
        <v>28.64</v>
      </c>
      <c r="Q6" s="88">
        <v>22.953800000000015</v>
      </c>
      <c r="R6" s="43"/>
      <c r="S6" s="43"/>
      <c r="T6" s="43"/>
      <c r="U6" s="43">
        <f>SUM(J6:M6)</f>
        <v>0</v>
      </c>
      <c r="V6" s="155">
        <f t="shared" si="0"/>
        <v>99.46380000000002</v>
      </c>
    </row>
    <row r="7" spans="1:36" ht="17.25" customHeight="1">
      <c r="A7" s="81" t="s">
        <v>87</v>
      </c>
      <c r="B7" s="38"/>
      <c r="C7" s="38"/>
      <c r="D7" s="38"/>
      <c r="E7" s="39"/>
      <c r="F7" s="38"/>
      <c r="G7" s="38"/>
      <c r="H7" s="38"/>
      <c r="I7" s="39"/>
      <c r="J7" s="43"/>
      <c r="K7" s="43"/>
      <c r="L7" s="43"/>
      <c r="M7" s="55"/>
      <c r="N7" s="9">
        <v>-2.8899999999999997</v>
      </c>
      <c r="O7" s="9">
        <v>-8.0000000000000071E-2</v>
      </c>
      <c r="P7" s="9">
        <f>-0.56*-1</f>
        <v>0.56000000000000005</v>
      </c>
      <c r="Q7" s="88">
        <v>1.58</v>
      </c>
      <c r="R7" s="43"/>
      <c r="S7" s="43"/>
      <c r="T7" s="43"/>
      <c r="U7" s="43">
        <f>SUM(J7:M7)</f>
        <v>0</v>
      </c>
      <c r="V7" s="155">
        <f t="shared" si="0"/>
        <v>-0.82999999999999963</v>
      </c>
    </row>
    <row r="8" spans="1:36" ht="17.25" customHeight="1">
      <c r="A8" s="81" t="s">
        <v>258</v>
      </c>
      <c r="B8" s="38"/>
      <c r="C8" s="38"/>
      <c r="D8" s="38"/>
      <c r="E8" s="39"/>
      <c r="F8" s="38"/>
      <c r="G8" s="38"/>
      <c r="H8" s="38"/>
      <c r="I8" s="39"/>
      <c r="J8" s="43"/>
      <c r="K8" s="43"/>
      <c r="L8" s="43"/>
      <c r="M8" s="55"/>
      <c r="N8" s="9"/>
      <c r="O8" s="9"/>
      <c r="P8" s="9"/>
      <c r="Q8" s="88">
        <v>-19.0037579</v>
      </c>
      <c r="R8" s="43"/>
      <c r="S8" s="43"/>
      <c r="T8" s="43"/>
      <c r="U8" s="43"/>
      <c r="V8" s="155">
        <f t="shared" si="0"/>
        <v>-19.0037579</v>
      </c>
    </row>
    <row r="9" spans="1:36" s="44" customFormat="1" ht="17.25" customHeight="1">
      <c r="A9" s="82" t="s">
        <v>88</v>
      </c>
      <c r="B9" s="41"/>
      <c r="C9" s="41"/>
      <c r="D9" s="41"/>
      <c r="E9" s="42"/>
      <c r="F9" s="41"/>
      <c r="G9" s="41"/>
      <c r="H9" s="41"/>
      <c r="I9" s="42"/>
      <c r="J9" s="41">
        <f t="shared" ref="J9:P9" si="1">SUM(J4:J7)</f>
        <v>1725.06</v>
      </c>
      <c r="K9" s="41">
        <f t="shared" si="1"/>
        <v>1800.3200000000002</v>
      </c>
      <c r="L9" s="41">
        <f t="shared" si="1"/>
        <v>1952.6599999999999</v>
      </c>
      <c r="M9" s="42">
        <f t="shared" si="1"/>
        <v>1943.6699999999998</v>
      </c>
      <c r="N9" s="41">
        <f t="shared" si="1"/>
        <v>2011.3333</v>
      </c>
      <c r="O9" s="41">
        <f t="shared" si="1"/>
        <v>2197.9743138868771</v>
      </c>
      <c r="P9" s="1">
        <f t="shared" si="1"/>
        <v>2318.0737000000004</v>
      </c>
      <c r="Q9" s="1">
        <f>SUM(Q4:Q8)</f>
        <v>2381.3468511260926</v>
      </c>
      <c r="R9" s="41"/>
      <c r="S9" s="41"/>
      <c r="T9" s="41"/>
      <c r="U9" s="41">
        <f>SUM(J9:M9)</f>
        <v>7421.71</v>
      </c>
      <c r="V9" s="41">
        <f t="shared" si="0"/>
        <v>8908.7281650129698</v>
      </c>
    </row>
    <row r="10" spans="1:36" ht="17.25" customHeight="1">
      <c r="A10" s="83" t="s">
        <v>263</v>
      </c>
      <c r="B10" s="84"/>
      <c r="C10" s="84"/>
      <c r="D10" s="84"/>
      <c r="E10" s="85"/>
      <c r="F10" s="84"/>
      <c r="G10" s="84"/>
      <c r="H10" s="84"/>
      <c r="I10" s="85"/>
      <c r="J10" s="84">
        <f>'P&amp;L'!J4</f>
        <v>1725.06</v>
      </c>
      <c r="K10" s="84">
        <f>'P&amp;L'!K4</f>
        <v>1800.3200000000002</v>
      </c>
      <c r="L10" s="84">
        <f>'P&amp;L'!L4</f>
        <v>1952.6599999999999</v>
      </c>
      <c r="M10" s="85">
        <f>'P&amp;L'!M4</f>
        <v>1943.67</v>
      </c>
      <c r="N10" s="84">
        <f>'P&amp;L'!N4</f>
        <v>2011.3308005220413</v>
      </c>
      <c r="O10" s="84">
        <f>'P&amp;L'!O4</f>
        <v>2197.9743138868771</v>
      </c>
      <c r="P10" s="160">
        <f>'P&amp;L'!P4</f>
        <v>2318.0737000000004</v>
      </c>
      <c r="Q10" s="160">
        <f>'P&amp;L'!Q4</f>
        <v>2381.3468511260926</v>
      </c>
      <c r="R10" s="84"/>
      <c r="S10" s="84"/>
      <c r="T10" s="84"/>
      <c r="U10" s="84">
        <f>'P&amp;L'!U4</f>
        <v>7421.71</v>
      </c>
      <c r="V10" s="84">
        <f t="shared" si="0"/>
        <v>8908.725665535012</v>
      </c>
    </row>
    <row r="11" spans="1:36" ht="17.25" customHeight="1">
      <c r="A11" s="83"/>
      <c r="B11" s="84"/>
      <c r="C11" s="84"/>
      <c r="D11" s="84"/>
      <c r="E11" s="85"/>
      <c r="F11" s="84"/>
      <c r="G11" s="84"/>
      <c r="H11" s="84"/>
      <c r="I11" s="85"/>
      <c r="J11" s="84"/>
      <c r="K11" s="84"/>
      <c r="L11" s="84"/>
      <c r="M11" s="85"/>
      <c r="N11" s="84"/>
      <c r="O11" s="84"/>
      <c r="P11" s="84"/>
      <c r="Q11" s="84"/>
      <c r="R11" s="84"/>
      <c r="S11" s="84"/>
      <c r="T11" s="84"/>
      <c r="U11" s="84"/>
      <c r="V11" s="84"/>
    </row>
    <row r="12" spans="1:36" ht="17.25" customHeight="1">
      <c r="A12" s="20" t="s">
        <v>97</v>
      </c>
      <c r="B12" s="21"/>
      <c r="C12" s="21"/>
      <c r="D12" s="21"/>
      <c r="E12" s="22"/>
      <c r="F12" s="23"/>
      <c r="G12" s="23"/>
      <c r="H12" s="23"/>
      <c r="I12" s="22"/>
      <c r="J12" s="23"/>
      <c r="K12" s="23"/>
      <c r="L12" s="23"/>
      <c r="M12" s="22"/>
      <c r="N12" s="23"/>
      <c r="O12" s="23"/>
      <c r="P12" s="21"/>
      <c r="Q12" s="21"/>
      <c r="R12" s="23"/>
      <c r="S12" s="21"/>
      <c r="T12" s="21"/>
      <c r="U12" s="23"/>
      <c r="V12" s="23"/>
    </row>
    <row r="13" spans="1:36" ht="17.25" customHeight="1">
      <c r="A13" s="82" t="s">
        <v>111</v>
      </c>
      <c r="B13" s="41"/>
      <c r="C13" s="41"/>
      <c r="D13" s="41"/>
      <c r="E13" s="42"/>
      <c r="F13" s="41"/>
      <c r="G13" s="41"/>
      <c r="H13" s="41"/>
      <c r="I13" s="42"/>
      <c r="J13" s="41">
        <f>'P&amp;L - SEBI Format'!J17</f>
        <v>1042.44</v>
      </c>
      <c r="K13" s="41">
        <f>'P&amp;L - SEBI Format'!K17</f>
        <v>1038.9000000000001</v>
      </c>
      <c r="L13" s="41">
        <f>'P&amp;L - SEBI Format'!L17</f>
        <v>1102.56</v>
      </c>
      <c r="M13" s="42">
        <f>'P&amp;L - SEBI Format'!M17</f>
        <v>1167.05</v>
      </c>
      <c r="N13" s="41">
        <f>'P&amp;L - SEBI Format'!N17</f>
        <v>1196.1500000000001</v>
      </c>
      <c r="O13" s="41">
        <f>'P&amp;L - SEBI Format'!O17</f>
        <v>1305</v>
      </c>
      <c r="P13" s="41">
        <f>'P&amp;L - SEBI Format'!P17</f>
        <v>1364.04</v>
      </c>
      <c r="Q13" s="41">
        <f>'P&amp;L - SEBI Format'!Q17</f>
        <v>1416.69</v>
      </c>
      <c r="R13" s="41"/>
      <c r="S13" s="41"/>
      <c r="T13" s="41"/>
      <c r="U13" s="41">
        <f>SUM(J13:M13)</f>
        <v>4350.95</v>
      </c>
      <c r="V13" s="41">
        <f t="shared" ref="V13:V16" si="2">SUM(N13:Q13)</f>
        <v>5281.88</v>
      </c>
    </row>
    <row r="14" spans="1:36" ht="17.25" customHeight="1">
      <c r="A14" s="81" t="s">
        <v>78</v>
      </c>
      <c r="B14" s="43"/>
      <c r="C14" s="43"/>
      <c r="D14" s="43"/>
      <c r="E14" s="55"/>
      <c r="F14" s="43"/>
      <c r="G14" s="43"/>
      <c r="H14" s="43"/>
      <c r="I14" s="55"/>
      <c r="J14" s="43">
        <f>'P&amp;L - SEBI Format'!J18</f>
        <v>1.45</v>
      </c>
      <c r="K14" s="43">
        <f>'P&amp;L - SEBI Format'!K18</f>
        <v>11.13</v>
      </c>
      <c r="L14" s="43">
        <f>'P&amp;L - SEBI Format'!L18</f>
        <v>15.23</v>
      </c>
      <c r="M14" s="55">
        <f>'P&amp;L - SEBI Format'!M18</f>
        <v>21.68</v>
      </c>
      <c r="N14" s="43">
        <f>'P&amp;L - SEBI Format'!N18</f>
        <v>8.5399999999999991</v>
      </c>
      <c r="O14" s="43">
        <f>'P&amp;L - SEBI Format'!O18</f>
        <v>12.400000000000002</v>
      </c>
      <c r="P14" s="43">
        <f>'P&amp;L - SEBI Format'!P18</f>
        <v>13.859999999999996</v>
      </c>
      <c r="Q14" s="43">
        <f>'P&amp;L - SEBI Format'!Q18</f>
        <v>0.71000000000000085</v>
      </c>
      <c r="R14" s="43"/>
      <c r="S14" s="43"/>
      <c r="T14" s="43"/>
      <c r="U14" s="43">
        <f>SUM(J14:M14)</f>
        <v>49.49</v>
      </c>
      <c r="V14" s="155">
        <f t="shared" si="2"/>
        <v>35.51</v>
      </c>
    </row>
    <row r="15" spans="1:36" s="44" customFormat="1" ht="17.25" customHeight="1">
      <c r="A15" s="82" t="s">
        <v>88</v>
      </c>
      <c r="B15" s="41"/>
      <c r="C15" s="41"/>
      <c r="D15" s="41"/>
      <c r="E15" s="42"/>
      <c r="F15" s="41"/>
      <c r="G15" s="41"/>
      <c r="H15" s="41"/>
      <c r="I15" s="42"/>
      <c r="J15" s="41">
        <f t="shared" ref="J15:Q15" si="3">SUM(J13:J14)</f>
        <v>1043.8900000000001</v>
      </c>
      <c r="K15" s="41">
        <f t="shared" si="3"/>
        <v>1050.0300000000002</v>
      </c>
      <c r="L15" s="41">
        <f t="shared" si="3"/>
        <v>1117.79</v>
      </c>
      <c r="M15" s="42">
        <f t="shared" si="3"/>
        <v>1188.73</v>
      </c>
      <c r="N15" s="41">
        <f t="shared" si="3"/>
        <v>1204.69</v>
      </c>
      <c r="O15" s="41">
        <f t="shared" si="3"/>
        <v>1317.4</v>
      </c>
      <c r="P15" s="41">
        <f t="shared" si="3"/>
        <v>1377.8999999999999</v>
      </c>
      <c r="Q15" s="41">
        <f t="shared" si="3"/>
        <v>1417.4</v>
      </c>
      <c r="R15" s="41"/>
      <c r="S15" s="41"/>
      <c r="T15" s="41"/>
      <c r="U15" s="41">
        <f>SUM(J15:M15)</f>
        <v>4400.4400000000005</v>
      </c>
      <c r="V15" s="41">
        <f t="shared" si="2"/>
        <v>5317.3899999999994</v>
      </c>
    </row>
    <row r="16" spans="1:36" ht="17.25" customHeight="1">
      <c r="A16" s="83" t="s">
        <v>263</v>
      </c>
      <c r="B16" s="84"/>
      <c r="C16" s="84"/>
      <c r="D16" s="84"/>
      <c r="E16" s="85"/>
      <c r="F16" s="84"/>
      <c r="G16" s="84"/>
      <c r="H16" s="84"/>
      <c r="I16" s="85"/>
      <c r="J16" s="84">
        <f>'P&amp;L'!J5</f>
        <v>1043.8900000000001</v>
      </c>
      <c r="K16" s="84">
        <f>'P&amp;L'!K5</f>
        <v>1050.03</v>
      </c>
      <c r="L16" s="84">
        <f>'P&amp;L'!L5</f>
        <v>1117.79</v>
      </c>
      <c r="M16" s="85">
        <f>'P&amp;L'!M5</f>
        <v>1188.73</v>
      </c>
      <c r="N16" s="84">
        <f>'P&amp;L'!N5</f>
        <v>1204.6874132837784</v>
      </c>
      <c r="O16" s="84">
        <f>'P&amp;L'!O5</f>
        <v>1317.4</v>
      </c>
      <c r="P16" s="84">
        <f>'P&amp;L'!P5</f>
        <v>1377.8999999999999</v>
      </c>
      <c r="Q16" s="84">
        <f>'P&amp;L'!Q5</f>
        <v>1417.4</v>
      </c>
      <c r="R16" s="84"/>
      <c r="S16" s="84"/>
      <c r="T16" s="84"/>
      <c r="U16" s="84">
        <f>'P&amp;L'!U5</f>
        <v>4400.4400000000005</v>
      </c>
      <c r="V16" s="84">
        <f t="shared" si="2"/>
        <v>5317.3874132837791</v>
      </c>
    </row>
    <row r="17" spans="1:22" ht="17.25" customHeight="1">
      <c r="A17" s="83"/>
      <c r="B17" s="84"/>
      <c r="C17" s="84"/>
      <c r="D17" s="84"/>
      <c r="E17" s="85"/>
      <c r="F17" s="84"/>
      <c r="G17" s="84"/>
      <c r="H17" s="84"/>
      <c r="I17" s="85"/>
      <c r="J17" s="84"/>
      <c r="K17" s="84"/>
      <c r="L17" s="84"/>
      <c r="M17" s="85"/>
      <c r="N17" s="84"/>
      <c r="O17" s="84"/>
      <c r="P17" s="84"/>
      <c r="Q17" s="84"/>
      <c r="R17" s="84"/>
      <c r="S17" s="84"/>
      <c r="T17" s="84"/>
      <c r="U17" s="84"/>
      <c r="V17" s="84"/>
    </row>
    <row r="18" spans="1:22" ht="17.25" customHeight="1">
      <c r="A18" s="20" t="s">
        <v>76</v>
      </c>
      <c r="B18" s="21"/>
      <c r="C18" s="21"/>
      <c r="D18" s="21"/>
      <c r="E18" s="22"/>
      <c r="F18" s="23"/>
      <c r="G18" s="23"/>
      <c r="H18" s="23"/>
      <c r="I18" s="22"/>
      <c r="J18" s="23"/>
      <c r="K18" s="23"/>
      <c r="L18" s="23"/>
      <c r="M18" s="22"/>
      <c r="N18" s="23"/>
      <c r="O18" s="23"/>
      <c r="P18" s="21"/>
      <c r="Q18" s="21"/>
      <c r="R18" s="23"/>
      <c r="S18" s="21"/>
      <c r="T18" s="21"/>
      <c r="U18" s="23"/>
      <c r="V18" s="23"/>
    </row>
    <row r="19" spans="1:22" ht="17.25" customHeight="1">
      <c r="A19" s="82" t="s">
        <v>85</v>
      </c>
      <c r="B19" s="41"/>
      <c r="C19" s="41"/>
      <c r="D19" s="41"/>
      <c r="E19" s="42"/>
      <c r="F19" s="41"/>
      <c r="G19" s="41"/>
      <c r="H19" s="41"/>
      <c r="I19" s="42"/>
      <c r="J19" s="41">
        <f>'P&amp;L - SEBI Format'!J14-'P&amp;L - SEBI Format'!J4</f>
        <v>1194.7300000000005</v>
      </c>
      <c r="K19" s="41">
        <f>'P&amp;L - SEBI Format'!K14-'P&amp;L - SEBI Format'!K4</f>
        <v>426.88999999999987</v>
      </c>
      <c r="L19" s="41">
        <f>'P&amp;L - SEBI Format'!L14-'P&amp;L - SEBI Format'!L4</f>
        <v>615.54</v>
      </c>
      <c r="M19" s="42">
        <f>'P&amp;L - SEBI Format'!M14-'P&amp;L - SEBI Format'!M4</f>
        <v>627.30999999999995</v>
      </c>
      <c r="N19" s="41">
        <f>'P&amp;L - SEBI Format'!N14-'P&amp;L - SEBI Format'!N4</f>
        <v>320.59000000000015</v>
      </c>
      <c r="O19" s="41">
        <f>'P&amp;L - SEBI Format'!O14-'P&amp;L - SEBI Format'!O4</f>
        <v>371.5</v>
      </c>
      <c r="P19" s="41">
        <f>'P&amp;L - SEBI Format'!P14-'P&amp;L - SEBI Format'!P4</f>
        <v>689.40000000000009</v>
      </c>
      <c r="Q19" s="41">
        <f>'P&amp;L - SEBI Format'!Q14-'P&amp;L - SEBI Format'!Q4</f>
        <v>769.01000000000067</v>
      </c>
      <c r="R19" s="41"/>
      <c r="S19" s="41"/>
      <c r="T19" s="41"/>
      <c r="U19" s="41">
        <f t="shared" ref="U19:V26" si="4">SUM(J19:M19)</f>
        <v>2864.4700000000003</v>
      </c>
      <c r="V19" s="41">
        <f t="shared" si="4"/>
        <v>1990.33</v>
      </c>
    </row>
    <row r="20" spans="1:22" ht="17.25" customHeight="1">
      <c r="A20" s="81" t="s">
        <v>89</v>
      </c>
      <c r="B20" s="38"/>
      <c r="C20" s="38"/>
      <c r="D20" s="38"/>
      <c r="E20" s="39"/>
      <c r="F20" s="38"/>
      <c r="G20" s="38"/>
      <c r="H20" s="38"/>
      <c r="I20" s="39"/>
      <c r="J20" s="43">
        <v>-95.46</v>
      </c>
      <c r="K20" s="43">
        <v>-184.17</v>
      </c>
      <c r="L20" s="43">
        <v>-23.21</v>
      </c>
      <c r="M20" s="55">
        <v>-8.6999999999999993</v>
      </c>
      <c r="N20" s="43">
        <v>-53.060499999999998</v>
      </c>
      <c r="O20" s="43">
        <v>-37.99</v>
      </c>
      <c r="P20" s="43">
        <v>-108.1484</v>
      </c>
      <c r="Q20" s="43">
        <v>-40.590000000000003</v>
      </c>
      <c r="R20" s="43"/>
      <c r="S20" s="43"/>
      <c r="T20" s="43"/>
      <c r="U20" s="43">
        <f t="shared" si="4"/>
        <v>-311.53999999999996</v>
      </c>
      <c r="V20" s="43">
        <f t="shared" ref="V20:V26" si="5">SUM(N20:Q20)</f>
        <v>-239.78889999999998</v>
      </c>
    </row>
    <row r="21" spans="1:22" ht="17.25" customHeight="1">
      <c r="A21" s="81" t="s">
        <v>259</v>
      </c>
      <c r="B21" s="38"/>
      <c r="C21" s="38"/>
      <c r="D21" s="38"/>
      <c r="E21" s="39"/>
      <c r="F21" s="38"/>
      <c r="G21" s="38"/>
      <c r="H21" s="38"/>
      <c r="I21" s="39"/>
      <c r="J21" s="43"/>
      <c r="K21" s="43"/>
      <c r="L21" s="43"/>
      <c r="M21" s="55"/>
      <c r="N21" s="43">
        <v>-103.7071878</v>
      </c>
      <c r="O21" s="43">
        <v>-76.932812200000015</v>
      </c>
      <c r="P21" s="43">
        <v>-376.07309680000003</v>
      </c>
      <c r="Q21" s="43">
        <v>-369.1</v>
      </c>
      <c r="R21" s="43"/>
      <c r="S21" s="43"/>
      <c r="T21" s="43"/>
      <c r="U21" s="43">
        <f t="shared" si="4"/>
        <v>0</v>
      </c>
      <c r="V21" s="43">
        <f t="shared" si="5"/>
        <v>-925.81309680000004</v>
      </c>
    </row>
    <row r="22" spans="1:22" ht="17.25" customHeight="1">
      <c r="A22" s="81" t="s">
        <v>90</v>
      </c>
      <c r="B22" s="38"/>
      <c r="C22" s="38"/>
      <c r="D22" s="38"/>
      <c r="E22" s="39"/>
      <c r="F22" s="38"/>
      <c r="G22" s="38"/>
      <c r="H22" s="38"/>
      <c r="I22" s="39"/>
      <c r="J22" s="43"/>
      <c r="K22" s="43"/>
      <c r="L22" s="43"/>
      <c r="M22" s="55">
        <v>-870.69</v>
      </c>
      <c r="N22" s="43"/>
      <c r="O22" s="43"/>
      <c r="P22" s="43"/>
      <c r="Q22" s="43"/>
      <c r="R22" s="43"/>
      <c r="S22" s="43"/>
      <c r="T22" s="43"/>
      <c r="U22" s="43">
        <f t="shared" si="4"/>
        <v>-870.69</v>
      </c>
      <c r="V22" s="43">
        <f t="shared" si="5"/>
        <v>0</v>
      </c>
    </row>
    <row r="23" spans="1:22" ht="17.25" customHeight="1">
      <c r="A23" s="81" t="s">
        <v>91</v>
      </c>
      <c r="B23" s="38"/>
      <c r="C23" s="38"/>
      <c r="D23" s="38"/>
      <c r="E23" s="39"/>
      <c r="F23" s="38"/>
      <c r="G23" s="38"/>
      <c r="H23" s="38"/>
      <c r="I23" s="39"/>
      <c r="J23" s="43">
        <v>-889.29</v>
      </c>
      <c r="K23" s="43">
        <v>-78.530000000000086</v>
      </c>
      <c r="L23" s="43">
        <v>-340.9</v>
      </c>
      <c r="M23" s="55">
        <v>574.74</v>
      </c>
      <c r="N23" s="43"/>
      <c r="O23" s="43"/>
      <c r="P23" s="43"/>
      <c r="Q23" s="43"/>
      <c r="R23" s="43"/>
      <c r="S23" s="43"/>
      <c r="T23" s="43"/>
      <c r="U23" s="43">
        <f t="shared" si="4"/>
        <v>-733.98</v>
      </c>
      <c r="V23" s="43">
        <f t="shared" si="5"/>
        <v>0</v>
      </c>
    </row>
    <row r="24" spans="1:22" ht="17.25" customHeight="1">
      <c r="A24" s="81" t="s">
        <v>257</v>
      </c>
      <c r="B24" s="38"/>
      <c r="C24" s="38"/>
      <c r="D24" s="38"/>
      <c r="E24" s="39"/>
      <c r="F24" s="38"/>
      <c r="G24" s="38"/>
      <c r="H24" s="38"/>
      <c r="I24" s="39"/>
      <c r="J24" s="43"/>
      <c r="K24" s="43"/>
      <c r="L24" s="43"/>
      <c r="M24" s="55"/>
      <c r="N24" s="43"/>
      <c r="O24" s="43"/>
      <c r="P24" s="43"/>
      <c r="Q24" s="43">
        <f>-Q8</f>
        <v>19.0037579</v>
      </c>
      <c r="R24" s="43"/>
      <c r="S24" s="43"/>
      <c r="T24" s="43"/>
      <c r="U24" s="43"/>
      <c r="V24" s="43">
        <f t="shared" si="5"/>
        <v>19.0037579</v>
      </c>
    </row>
    <row r="25" spans="1:22" ht="17.25" customHeight="1">
      <c r="A25" s="81" t="s">
        <v>87</v>
      </c>
      <c r="B25" s="38"/>
      <c r="C25" s="38"/>
      <c r="D25" s="38"/>
      <c r="E25" s="39"/>
      <c r="F25" s="38"/>
      <c r="G25" s="38"/>
      <c r="H25" s="38"/>
      <c r="I25" s="39"/>
      <c r="J25" s="43"/>
      <c r="K25" s="43"/>
      <c r="L25" s="43"/>
      <c r="M25" s="55"/>
      <c r="N25" s="43">
        <v>2.8899999999999997</v>
      </c>
      <c r="O25" s="43">
        <v>8.0000000000000099E-2</v>
      </c>
      <c r="P25" s="43"/>
      <c r="Q25" s="43">
        <v>-1.58</v>
      </c>
      <c r="R25" s="43"/>
      <c r="S25" s="43"/>
      <c r="T25" s="43"/>
      <c r="U25" s="43"/>
      <c r="V25" s="43">
        <f t="shared" si="5"/>
        <v>1.3899999999999997</v>
      </c>
    </row>
    <row r="26" spans="1:22" s="44" customFormat="1" ht="17.25" customHeight="1">
      <c r="A26" s="82" t="s">
        <v>88</v>
      </c>
      <c r="B26" s="41"/>
      <c r="C26" s="41"/>
      <c r="D26" s="41"/>
      <c r="E26" s="42"/>
      <c r="F26" s="41"/>
      <c r="G26" s="41"/>
      <c r="H26" s="41"/>
      <c r="I26" s="42"/>
      <c r="J26" s="41">
        <f t="shared" ref="J26:Q26" si="6">SUM(J19:J25)</f>
        <v>209.98000000000047</v>
      </c>
      <c r="K26" s="41">
        <f t="shared" si="6"/>
        <v>164.1899999999998</v>
      </c>
      <c r="L26" s="41">
        <f t="shared" si="6"/>
        <v>251.42999999999995</v>
      </c>
      <c r="M26" s="42">
        <f t="shared" si="6"/>
        <v>322.65999999999985</v>
      </c>
      <c r="N26" s="41">
        <f t="shared" si="6"/>
        <v>166.71231220000016</v>
      </c>
      <c r="O26" s="41">
        <f t="shared" si="6"/>
        <v>256.65718779999997</v>
      </c>
      <c r="P26" s="41">
        <f t="shared" si="6"/>
        <v>205.17850320000002</v>
      </c>
      <c r="Q26" s="41">
        <f t="shared" si="6"/>
        <v>376.74375790000062</v>
      </c>
      <c r="R26" s="41"/>
      <c r="S26" s="41"/>
      <c r="T26" s="41"/>
      <c r="U26" s="41">
        <f t="shared" si="4"/>
        <v>948.2600000000001</v>
      </c>
      <c r="V26" s="41">
        <f t="shared" si="5"/>
        <v>1005.2917611000007</v>
      </c>
    </row>
    <row r="27" spans="1:22" ht="17.25" customHeight="1">
      <c r="A27" s="83" t="s">
        <v>263</v>
      </c>
      <c r="B27" s="84"/>
      <c r="C27" s="84"/>
      <c r="D27" s="84"/>
      <c r="E27" s="85"/>
      <c r="F27" s="84"/>
      <c r="G27" s="84"/>
      <c r="H27" s="84"/>
      <c r="I27" s="85"/>
      <c r="J27" s="84">
        <f>'P&amp;L'!J11</f>
        <v>209.98000000000002</v>
      </c>
      <c r="K27" s="84">
        <f>'P&amp;L'!K11</f>
        <v>164.19000000000005</v>
      </c>
      <c r="L27" s="84">
        <f>'P&amp;L'!L11</f>
        <v>251.43</v>
      </c>
      <c r="M27" s="85">
        <f>'P&amp;L'!M11</f>
        <v>322.6600000000002</v>
      </c>
      <c r="N27" s="84">
        <f>'P&amp;L'!N11</f>
        <v>166.70265377474576</v>
      </c>
      <c r="O27" s="84">
        <f>'P&amp;L'!O11</f>
        <v>256.79169999999999</v>
      </c>
      <c r="P27" s="84">
        <f>'P&amp;L'!P11</f>
        <v>204.67160000000001</v>
      </c>
      <c r="Q27" s="84">
        <f>'P&amp;L'!Q11</f>
        <v>376.71375790000002</v>
      </c>
      <c r="R27" s="84"/>
      <c r="S27" s="84"/>
      <c r="T27" s="84"/>
      <c r="U27" s="84">
        <f>'P&amp;L'!U11</f>
        <v>948.26000000000033</v>
      </c>
      <c r="V27" s="84">
        <f>'P&amp;L'!V11</f>
        <v>1004.8797116747457</v>
      </c>
    </row>
    <row r="28" spans="1:22" ht="17.25" customHeight="1">
      <c r="A28" s="83"/>
      <c r="B28" s="84"/>
      <c r="C28" s="84"/>
      <c r="D28" s="84"/>
      <c r="E28" s="85"/>
      <c r="F28" s="84"/>
      <c r="G28" s="84"/>
      <c r="H28" s="84"/>
      <c r="I28" s="85"/>
      <c r="J28" s="84"/>
      <c r="K28" s="84"/>
      <c r="L28" s="84"/>
      <c r="M28" s="85"/>
      <c r="N28" s="84"/>
      <c r="O28" s="84"/>
      <c r="P28" s="84"/>
      <c r="Q28" s="84"/>
      <c r="R28" s="84"/>
      <c r="S28" s="84"/>
      <c r="T28" s="84"/>
      <c r="U28" s="84"/>
      <c r="V28" s="84"/>
    </row>
    <row r="29" spans="1:22" ht="17.25" customHeight="1">
      <c r="A29" s="20" t="s">
        <v>92</v>
      </c>
      <c r="B29" s="21"/>
      <c r="C29" s="21"/>
      <c r="D29" s="21"/>
      <c r="E29" s="22"/>
      <c r="F29" s="23"/>
      <c r="G29" s="23"/>
      <c r="H29" s="23"/>
      <c r="I29" s="22"/>
      <c r="J29" s="23"/>
      <c r="K29" s="23"/>
      <c r="L29" s="23"/>
      <c r="M29" s="22"/>
      <c r="N29" s="23"/>
      <c r="O29" s="23"/>
      <c r="P29" s="21"/>
      <c r="Q29" s="21"/>
      <c r="R29" s="23"/>
      <c r="S29" s="21"/>
      <c r="T29" s="21"/>
      <c r="U29" s="23"/>
      <c r="V29" s="23"/>
    </row>
    <row r="30" spans="1:22" ht="17.25" customHeight="1">
      <c r="A30" s="82" t="s">
        <v>85</v>
      </c>
      <c r="B30" s="43"/>
      <c r="C30" s="43"/>
      <c r="D30" s="43"/>
      <c r="E30" s="55"/>
      <c r="F30" s="43"/>
      <c r="G30" s="43"/>
      <c r="H30" s="43"/>
      <c r="I30" s="55"/>
      <c r="J30" s="43">
        <f>'P&amp;L - SEBI Format'!J18+'P&amp;L - SEBI Format'!J22+'P&amp;L - SEBI Format'!J23+'P&amp;L - SEBI Format'!J24</f>
        <v>907.50999999999988</v>
      </c>
      <c r="K30" s="43">
        <f>'P&amp;L - SEBI Format'!K18+'P&amp;L - SEBI Format'!K22+'P&amp;L - SEBI Format'!K23+'P&amp;L - SEBI Format'!K24</f>
        <v>675.24</v>
      </c>
      <c r="L30" s="43">
        <f>'P&amp;L - SEBI Format'!L18+'P&amp;L - SEBI Format'!L22+'P&amp;L - SEBI Format'!L23+'P&amp;L - SEBI Format'!L24</f>
        <v>712.23</v>
      </c>
      <c r="M30" s="55">
        <f>'P&amp;L - SEBI Format'!M18+'P&amp;L - SEBI Format'!M22+'P&amp;L - SEBI Format'!M23+'P&amp;L - SEBI Format'!M24</f>
        <v>1466.7600000000002</v>
      </c>
      <c r="N30" s="43">
        <f>'P&amp;L - SEBI Format'!N18+'P&amp;L - SEBI Format'!N22+'P&amp;L - SEBI Format'!N23+'P&amp;L - SEBI Format'!N24</f>
        <v>711.9</v>
      </c>
      <c r="O30" s="43">
        <f>'P&amp;L - SEBI Format'!O18+'P&amp;L - SEBI Format'!O22+'P&amp;L - SEBI Format'!O23+'P&amp;L - SEBI Format'!O24</f>
        <v>753.38</v>
      </c>
      <c r="P30" s="43">
        <f>'P&amp;L - SEBI Format'!P18+'P&amp;L - SEBI Format'!P22+'P&amp;L - SEBI Format'!P23+'P&amp;L - SEBI Format'!P24</f>
        <v>800.23000000000013</v>
      </c>
      <c r="Q30" s="43">
        <f>'P&amp;L - SEBI Format'!Q18+'P&amp;L - SEBI Format'!Q22+'P&amp;L - SEBI Format'!Q23+'P&amp;L - SEBI Format'!Q24</f>
        <v>784.18999999999983</v>
      </c>
      <c r="R30" s="43"/>
      <c r="S30" s="43"/>
      <c r="T30" s="43"/>
      <c r="U30" s="43">
        <f>'P&amp;L - SEBI Format'!U18+'P&amp;L - SEBI Format'!U22+'P&amp;L - SEBI Format'!U23+'P&amp;L - SEBI Format'!U24</f>
        <v>3761.7400000000002</v>
      </c>
      <c r="V30" s="43">
        <f>'P&amp;L - SEBI Format'!V18+'P&amp;L - SEBI Format'!V22+'P&amp;L - SEBI Format'!V23+'P&amp;L - SEBI Format'!V24</f>
        <v>3049.7</v>
      </c>
    </row>
    <row r="31" spans="1:22" ht="17.25" customHeight="1">
      <c r="A31" s="81" t="s">
        <v>93</v>
      </c>
      <c r="B31" s="38"/>
      <c r="C31" s="38"/>
      <c r="D31" s="38"/>
      <c r="E31" s="39"/>
      <c r="F31" s="38"/>
      <c r="G31" s="38"/>
      <c r="H31" s="38"/>
      <c r="I31" s="39"/>
      <c r="J31" s="43">
        <v>-278</v>
      </c>
      <c r="K31" s="43"/>
      <c r="L31" s="43"/>
      <c r="M31" s="55"/>
      <c r="N31" s="43"/>
      <c r="O31" s="43"/>
      <c r="P31" s="43"/>
      <c r="Q31" s="43"/>
      <c r="R31" s="43"/>
      <c r="S31" s="43"/>
      <c r="T31" s="43"/>
      <c r="U31" s="43">
        <f>SUM(J31:M31)</f>
        <v>-278</v>
      </c>
      <c r="V31" s="43">
        <f>SUM(N31:Q31)</f>
        <v>0</v>
      </c>
    </row>
    <row r="32" spans="1:22" ht="17.25" customHeight="1">
      <c r="A32" s="81" t="s">
        <v>94</v>
      </c>
      <c r="B32" s="38"/>
      <c r="C32" s="38"/>
      <c r="D32" s="38"/>
      <c r="E32" s="39"/>
      <c r="F32" s="38"/>
      <c r="G32" s="38"/>
      <c r="H32" s="38"/>
      <c r="I32" s="39"/>
      <c r="J32" s="43"/>
      <c r="K32" s="43"/>
      <c r="L32" s="43"/>
      <c r="M32" s="55">
        <v>-660.31000000000006</v>
      </c>
      <c r="N32" s="43"/>
      <c r="O32" s="43"/>
      <c r="P32" s="43"/>
      <c r="Q32" s="43"/>
      <c r="R32" s="43"/>
      <c r="S32" s="43"/>
      <c r="T32" s="43"/>
      <c r="U32" s="43">
        <f>SUM(J32:M32)</f>
        <v>-660.31000000000006</v>
      </c>
      <c r="V32" s="43">
        <f>SUM(N32:Q32)</f>
        <v>0</v>
      </c>
    </row>
    <row r="33" spans="1:22" ht="17.25" customHeight="1">
      <c r="A33" s="81" t="s">
        <v>78</v>
      </c>
      <c r="B33" s="43"/>
      <c r="C33" s="43"/>
      <c r="D33" s="43"/>
      <c r="E33" s="55"/>
      <c r="F33" s="43"/>
      <c r="G33" s="43"/>
      <c r="H33" s="43"/>
      <c r="I33" s="55"/>
      <c r="J33" s="43">
        <f>-'P&amp;L - SEBI Format'!J18</f>
        <v>-1.45</v>
      </c>
      <c r="K33" s="43">
        <f>-'P&amp;L - SEBI Format'!K18</f>
        <v>-11.13</v>
      </c>
      <c r="L33" s="43">
        <f>-'P&amp;L - SEBI Format'!L18</f>
        <v>-15.23</v>
      </c>
      <c r="M33" s="55">
        <f>-'P&amp;L - SEBI Format'!M18</f>
        <v>-21.68</v>
      </c>
      <c r="N33" s="43">
        <f>-'P&amp;L - SEBI Format'!N18</f>
        <v>-8.5399999999999991</v>
      </c>
      <c r="O33" s="43">
        <f>-'P&amp;L - SEBI Format'!O18</f>
        <v>-12.400000000000002</v>
      </c>
      <c r="P33" s="43">
        <f>-'P&amp;L - SEBI Format'!P18</f>
        <v>-13.859999999999996</v>
      </c>
      <c r="Q33" s="43">
        <f>-'P&amp;L - SEBI Format'!Q18</f>
        <v>-0.71000000000000085</v>
      </c>
      <c r="R33" s="43"/>
      <c r="S33" s="43"/>
      <c r="T33" s="43"/>
      <c r="U33" s="43">
        <f>-'P&amp;L - SEBI Format'!U18</f>
        <v>-49.49</v>
      </c>
      <c r="V33" s="43">
        <f>SUM(N33:Q33)</f>
        <v>-35.51</v>
      </c>
    </row>
    <row r="34" spans="1:22" s="44" customFormat="1" ht="17.25" customHeight="1">
      <c r="A34" s="82" t="s">
        <v>88</v>
      </c>
      <c r="B34" s="41"/>
      <c r="C34" s="41"/>
      <c r="D34" s="41"/>
      <c r="E34" s="42"/>
      <c r="F34" s="41"/>
      <c r="G34" s="41"/>
      <c r="H34" s="41"/>
      <c r="I34" s="42"/>
      <c r="J34" s="41">
        <f t="shared" ref="J34:P34" si="7">SUM(J30:J33)</f>
        <v>628.05999999999983</v>
      </c>
      <c r="K34" s="41">
        <f t="shared" si="7"/>
        <v>664.11</v>
      </c>
      <c r="L34" s="41">
        <f t="shared" si="7"/>
        <v>697</v>
      </c>
      <c r="M34" s="42">
        <f t="shared" si="7"/>
        <v>784.77000000000021</v>
      </c>
      <c r="N34" s="41">
        <f t="shared" si="7"/>
        <v>703.36</v>
      </c>
      <c r="O34" s="41">
        <f t="shared" si="7"/>
        <v>740.98</v>
      </c>
      <c r="P34" s="41">
        <f t="shared" si="7"/>
        <v>786.37000000000012</v>
      </c>
      <c r="Q34" s="41">
        <f t="shared" ref="Q34" si="8">SUM(Q30:Q33)</f>
        <v>783.47999999999979</v>
      </c>
      <c r="R34" s="41"/>
      <c r="S34" s="41"/>
      <c r="T34" s="41"/>
      <c r="U34" s="41">
        <f>SUM(U30:U33)</f>
        <v>2773.9400000000005</v>
      </c>
      <c r="V34" s="41">
        <f>SUM(V30:V33)</f>
        <v>3014.1899999999996</v>
      </c>
    </row>
    <row r="35" spans="1:22" ht="17.25" customHeight="1">
      <c r="A35" s="83" t="s">
        <v>263</v>
      </c>
      <c r="B35" s="84"/>
      <c r="C35" s="84"/>
      <c r="D35" s="84"/>
      <c r="E35" s="85"/>
      <c r="F35" s="84"/>
      <c r="G35" s="84"/>
      <c r="H35" s="84"/>
      <c r="I35" s="85"/>
      <c r="J35" s="84">
        <f>'P&amp;L'!J16</f>
        <v>628</v>
      </c>
      <c r="K35" s="84">
        <f>'P&amp;L'!K16</f>
        <v>664.11</v>
      </c>
      <c r="L35" s="84">
        <f>'P&amp;L'!L16</f>
        <v>697</v>
      </c>
      <c r="M35" s="85">
        <f>'P&amp;L'!M16</f>
        <v>784.97</v>
      </c>
      <c r="N35" s="84">
        <f>'P&amp;L'!N16</f>
        <v>703.3599999999999</v>
      </c>
      <c r="O35" s="84">
        <f>'P&amp;L'!O16</f>
        <v>740.98</v>
      </c>
      <c r="P35" s="84">
        <f>'P&amp;L'!P16</f>
        <v>786.37000000000012</v>
      </c>
      <c r="Q35" s="84">
        <f>'P&amp;L'!Q16</f>
        <v>783.4799999999999</v>
      </c>
      <c r="R35" s="84"/>
      <c r="S35" s="84"/>
      <c r="T35" s="84"/>
      <c r="U35" s="84">
        <f>'P&amp;L'!U16</f>
        <v>2774.08</v>
      </c>
      <c r="V35" s="84">
        <f>'P&amp;L'!V16</f>
        <v>3014.19</v>
      </c>
    </row>
    <row r="36" spans="1:22" ht="17.25" customHeight="1">
      <c r="A36" s="83"/>
      <c r="B36" s="84"/>
      <c r="C36" s="84"/>
      <c r="D36" s="84"/>
      <c r="E36" s="85"/>
      <c r="F36" s="84"/>
      <c r="G36" s="84"/>
      <c r="H36" s="84"/>
      <c r="I36" s="85"/>
      <c r="J36" s="84"/>
      <c r="K36" s="84"/>
      <c r="L36" s="84"/>
      <c r="M36" s="85"/>
      <c r="N36" s="84"/>
      <c r="O36" s="84"/>
      <c r="P36" s="84"/>
      <c r="Q36" s="84"/>
      <c r="R36" s="84"/>
      <c r="S36" s="84"/>
      <c r="T36" s="84"/>
      <c r="U36" s="84"/>
      <c r="V36" s="84"/>
    </row>
    <row r="37" spans="1:22" ht="17.25" customHeight="1">
      <c r="A37" s="20" t="s">
        <v>31</v>
      </c>
      <c r="B37" s="21"/>
      <c r="C37" s="21"/>
      <c r="D37" s="21"/>
      <c r="E37" s="22"/>
      <c r="F37" s="23"/>
      <c r="G37" s="23"/>
      <c r="H37" s="23"/>
      <c r="I37" s="22"/>
      <c r="J37" s="23"/>
      <c r="K37" s="23"/>
      <c r="L37" s="23"/>
      <c r="M37" s="22"/>
      <c r="N37" s="23"/>
      <c r="O37" s="23"/>
      <c r="P37" s="21"/>
      <c r="Q37" s="21"/>
      <c r="R37" s="23"/>
      <c r="S37" s="21"/>
      <c r="T37" s="21"/>
      <c r="U37" s="23"/>
      <c r="V37" s="23"/>
    </row>
    <row r="38" spans="1:22" ht="17.25" customHeight="1">
      <c r="A38" s="28" t="s">
        <v>190</v>
      </c>
      <c r="B38" s="43"/>
      <c r="C38" s="43"/>
      <c r="D38" s="43"/>
      <c r="E38" s="55"/>
      <c r="F38" s="43"/>
      <c r="G38" s="43"/>
      <c r="H38" s="43"/>
      <c r="I38" s="55"/>
      <c r="J38" s="43">
        <f>'P&amp;L - SEBI Format'!J20</f>
        <v>1460.95</v>
      </c>
      <c r="K38" s="43">
        <f>'P&amp;L - SEBI Format'!K20</f>
        <v>683.12</v>
      </c>
      <c r="L38" s="43">
        <f>'P&amp;L - SEBI Format'!L20</f>
        <v>452.61</v>
      </c>
      <c r="M38" s="55">
        <f>'P&amp;L - SEBI Format'!M20</f>
        <v>1547.95</v>
      </c>
      <c r="N38" s="43">
        <f>'P&amp;L - SEBI Format'!N20</f>
        <v>363.09</v>
      </c>
      <c r="O38" s="43">
        <f>'P&amp;L - SEBI Format'!O20</f>
        <v>197.79000000000002</v>
      </c>
      <c r="P38" s="43">
        <f>'P&amp;L - SEBI Format'!P20</f>
        <v>436.19000000000005</v>
      </c>
      <c r="Q38" s="43">
        <f>'P&amp;L - SEBI Format'!Q20</f>
        <v>1945.83</v>
      </c>
      <c r="R38" s="43"/>
      <c r="S38" s="43"/>
      <c r="T38" s="43"/>
      <c r="U38" s="43">
        <f>SUM(J38:M38)</f>
        <v>4144.63</v>
      </c>
      <c r="V38" s="43">
        <f>SUM(N38:Q38)</f>
        <v>2942.9</v>
      </c>
    </row>
    <row r="39" spans="1:22" ht="17.25" customHeight="1">
      <c r="A39" s="28" t="s">
        <v>191</v>
      </c>
      <c r="B39" s="43"/>
      <c r="C39" s="43"/>
      <c r="D39" s="43"/>
      <c r="E39" s="55"/>
      <c r="F39" s="43"/>
      <c r="G39" s="43"/>
      <c r="H39" s="43"/>
      <c r="I39" s="55"/>
      <c r="J39" s="43">
        <f>'P&amp;L - SEBI Format'!J21</f>
        <v>-1172.98</v>
      </c>
      <c r="K39" s="43">
        <f>'P&amp;L - SEBI Format'!K21</f>
        <v>-244.64000000000001</v>
      </c>
      <c r="L39" s="43">
        <f>'P&amp;L - SEBI Format'!L21</f>
        <v>146.91</v>
      </c>
      <c r="M39" s="55">
        <f>'P&amp;L - SEBI Format'!M21</f>
        <v>537.28</v>
      </c>
      <c r="N39" s="43">
        <f>'P&amp;L - SEBI Format'!N21</f>
        <v>-487.98</v>
      </c>
      <c r="O39" s="43">
        <f>'P&amp;L - SEBI Format'!O21</f>
        <v>66.5</v>
      </c>
      <c r="P39" s="43">
        <f>'P&amp;L - SEBI Format'!P21</f>
        <v>-74.45999999999998</v>
      </c>
      <c r="Q39" s="43">
        <f>'P&amp;L - SEBI Format'!Q21</f>
        <v>-1085.47</v>
      </c>
      <c r="R39" s="43"/>
      <c r="S39" s="43"/>
      <c r="T39" s="43"/>
      <c r="U39" s="43">
        <f>SUM(J39:M39)</f>
        <v>-733.43000000000006</v>
      </c>
      <c r="V39" s="43">
        <f t="shared" ref="V39:V50" si="9">SUM(N39:Q39)</f>
        <v>-1581.41</v>
      </c>
    </row>
    <row r="40" spans="1:22" ht="17.25" customHeight="1">
      <c r="A40" s="28" t="s">
        <v>228</v>
      </c>
      <c r="B40" s="86"/>
      <c r="C40" s="86"/>
      <c r="D40" s="86"/>
      <c r="E40" s="87"/>
      <c r="F40" s="88"/>
      <c r="G40" s="88"/>
      <c r="H40" s="88"/>
      <c r="I40" s="87"/>
      <c r="J40" s="88">
        <f>-('P&amp;L - SEBI Format'!J8)</f>
        <v>-889.29</v>
      </c>
      <c r="K40" s="88">
        <f>-('P&amp;L - SEBI Format'!K8)</f>
        <v>-78.53</v>
      </c>
      <c r="L40" s="88">
        <f>-('P&amp;L - SEBI Format'!L8)</f>
        <v>-340.9</v>
      </c>
      <c r="M40" s="87">
        <f>-('P&amp;L - SEBI Format'!M8)</f>
        <v>574.74</v>
      </c>
      <c r="N40" s="87"/>
      <c r="O40" s="87"/>
      <c r="P40" s="87"/>
      <c r="Q40" s="87"/>
      <c r="R40" s="43"/>
      <c r="S40" s="43"/>
      <c r="T40" s="43"/>
      <c r="U40" s="43">
        <f>SUM(J40:M40)</f>
        <v>-733.97999999999979</v>
      </c>
      <c r="V40" s="43">
        <f t="shared" si="9"/>
        <v>0</v>
      </c>
    </row>
    <row r="41" spans="1:22" ht="17.25" customHeight="1">
      <c r="A41" s="28" t="s">
        <v>229</v>
      </c>
      <c r="B41" s="86"/>
      <c r="C41" s="86"/>
      <c r="D41" s="86"/>
      <c r="E41" s="87"/>
      <c r="F41" s="88"/>
      <c r="G41" s="88"/>
      <c r="H41" s="88"/>
      <c r="I41" s="87"/>
      <c r="J41" s="88"/>
      <c r="K41" s="88"/>
      <c r="L41" s="88"/>
      <c r="M41" s="87"/>
      <c r="N41" s="88">
        <f>'P&amp;L - SEBI Format'!N19</f>
        <v>225.59</v>
      </c>
      <c r="O41" s="88">
        <f>'P&amp;L - SEBI Format'!O19</f>
        <v>-26.689999999999998</v>
      </c>
      <c r="P41" s="88">
        <f>'P&amp;L - SEBI Format'!P19</f>
        <v>266.07000000000005</v>
      </c>
      <c r="Q41" s="88">
        <f>'P&amp;L - SEBI Format'!Q19</f>
        <v>-54.520000000000039</v>
      </c>
      <c r="R41" s="43"/>
      <c r="S41" s="43"/>
      <c r="T41" s="43"/>
      <c r="U41" s="43"/>
      <c r="V41" s="43">
        <f t="shared" si="9"/>
        <v>410.45</v>
      </c>
    </row>
    <row r="42" spans="1:22" s="44" customFormat="1" ht="17.25" customHeight="1">
      <c r="A42" s="82" t="s">
        <v>85</v>
      </c>
      <c r="B42" s="41"/>
      <c r="C42" s="41"/>
      <c r="D42" s="41"/>
      <c r="E42" s="42"/>
      <c r="F42" s="41"/>
      <c r="G42" s="41"/>
      <c r="H42" s="41"/>
      <c r="I42" s="42"/>
      <c r="J42" s="41">
        <f t="shared" ref="J42:M42" si="10">SUM(J38:J40)</f>
        <v>-601.31999999999994</v>
      </c>
      <c r="K42" s="41">
        <f t="shared" si="10"/>
        <v>359.95000000000005</v>
      </c>
      <c r="L42" s="41">
        <f t="shared" si="10"/>
        <v>258.62</v>
      </c>
      <c r="M42" s="42">
        <f t="shared" si="10"/>
        <v>2659.9700000000003</v>
      </c>
      <c r="N42" s="41">
        <f>SUM(N38:N41)</f>
        <v>100.69999999999996</v>
      </c>
      <c r="O42" s="41">
        <f>SUM(O38:O41)</f>
        <v>237.60000000000002</v>
      </c>
      <c r="P42" s="41">
        <f>SUM(P38:P41)</f>
        <v>627.80000000000018</v>
      </c>
      <c r="Q42" s="41">
        <f>SUM(Q38:Q41)</f>
        <v>805.83999999999992</v>
      </c>
      <c r="R42" s="41"/>
      <c r="S42" s="41"/>
      <c r="T42" s="41"/>
      <c r="U42" s="41">
        <f>U38+U39+U40</f>
        <v>2677.2200000000003</v>
      </c>
      <c r="V42" s="41">
        <f t="shared" si="9"/>
        <v>1771.94</v>
      </c>
    </row>
    <row r="43" spans="1:22" s="44" customFormat="1" ht="17.25" customHeight="1">
      <c r="A43" s="89" t="s">
        <v>112</v>
      </c>
      <c r="B43" s="38"/>
      <c r="C43" s="38"/>
      <c r="D43" s="38"/>
      <c r="E43" s="39"/>
      <c r="F43" s="38"/>
      <c r="G43" s="38"/>
      <c r="H43" s="38"/>
      <c r="I43" s="39"/>
      <c r="J43" s="43">
        <v>-95.46</v>
      </c>
      <c r="K43" s="43">
        <v>-184.17000000000002</v>
      </c>
      <c r="L43" s="43">
        <v>-23.20999999999998</v>
      </c>
      <c r="M43" s="55">
        <v>-8.7000000000000277</v>
      </c>
      <c r="N43" s="43">
        <v>-53</v>
      </c>
      <c r="O43" s="43">
        <v>-37.99</v>
      </c>
      <c r="P43" s="43">
        <v>-108.1484</v>
      </c>
      <c r="Q43" s="43">
        <f>Q20</f>
        <v>-40.590000000000003</v>
      </c>
      <c r="R43" s="43"/>
      <c r="S43" s="43"/>
      <c r="T43" s="43"/>
      <c r="U43" s="43">
        <f t="shared" ref="U43:U49" si="11">SUM(J43:M43)</f>
        <v>-311.54000000000002</v>
      </c>
      <c r="V43" s="43">
        <f t="shared" si="9"/>
        <v>-239.72839999999999</v>
      </c>
    </row>
    <row r="44" spans="1:22" s="44" customFormat="1" ht="17.25" customHeight="1">
      <c r="A44" s="89" t="s">
        <v>227</v>
      </c>
      <c r="B44" s="38"/>
      <c r="C44" s="38"/>
      <c r="D44" s="38"/>
      <c r="E44" s="39"/>
      <c r="F44" s="38"/>
      <c r="G44" s="38"/>
      <c r="H44" s="38"/>
      <c r="I44" s="39"/>
      <c r="J44" s="43">
        <v>21</v>
      </c>
      <c r="K44" s="43">
        <v>22</v>
      </c>
      <c r="L44" s="43">
        <v>22</v>
      </c>
      <c r="M44" s="55">
        <v>42.82</v>
      </c>
      <c r="N44" s="43">
        <v>56.96</v>
      </c>
      <c r="O44" s="43">
        <v>98.517613886877299</v>
      </c>
      <c r="P44" s="43">
        <v>100.0337</v>
      </c>
      <c r="Q44" s="43">
        <f>Q5</f>
        <v>112.21680902609216</v>
      </c>
      <c r="R44" s="43"/>
      <c r="S44" s="43"/>
      <c r="T44" s="43"/>
      <c r="U44" s="43">
        <f t="shared" si="11"/>
        <v>107.82</v>
      </c>
      <c r="V44" s="43">
        <f t="shared" si="9"/>
        <v>367.72812291296947</v>
      </c>
    </row>
    <row r="45" spans="1:22" ht="17.25" customHeight="1">
      <c r="A45" s="89" t="s">
        <v>226</v>
      </c>
      <c r="B45" s="38"/>
      <c r="C45" s="38"/>
      <c r="D45" s="38"/>
      <c r="E45" s="39"/>
      <c r="F45" s="38"/>
      <c r="G45" s="38"/>
      <c r="H45" s="38"/>
      <c r="I45" s="39"/>
      <c r="J45" s="43"/>
      <c r="K45" s="43"/>
      <c r="L45" s="43"/>
      <c r="M45" s="55">
        <v>660.31000000000006</v>
      </c>
      <c r="N45" s="43"/>
      <c r="O45" s="43"/>
      <c r="P45" s="43"/>
      <c r="Q45" s="43"/>
      <c r="R45" s="43"/>
      <c r="S45" s="43"/>
      <c r="T45" s="43"/>
      <c r="U45" s="43">
        <f t="shared" si="11"/>
        <v>660.31000000000006</v>
      </c>
      <c r="V45" s="43">
        <f t="shared" si="9"/>
        <v>0</v>
      </c>
    </row>
    <row r="46" spans="1:22" ht="17.25" customHeight="1">
      <c r="A46" s="89" t="s">
        <v>113</v>
      </c>
      <c r="B46" s="38"/>
      <c r="C46" s="38"/>
      <c r="D46" s="38"/>
      <c r="E46" s="39"/>
      <c r="F46" s="38"/>
      <c r="G46" s="38"/>
      <c r="H46" s="38"/>
      <c r="I46" s="39"/>
      <c r="J46" s="43">
        <v>855</v>
      </c>
      <c r="K46" s="43"/>
      <c r="L46" s="43"/>
      <c r="M46" s="55"/>
      <c r="N46" s="43"/>
      <c r="O46" s="43"/>
      <c r="P46" s="43"/>
      <c r="Q46" s="43"/>
      <c r="R46" s="43"/>
      <c r="S46" s="43"/>
      <c r="T46" s="43"/>
      <c r="U46" s="43">
        <f t="shared" si="11"/>
        <v>855</v>
      </c>
      <c r="V46" s="43">
        <f t="shared" si="9"/>
        <v>0</v>
      </c>
    </row>
    <row r="47" spans="1:22" ht="17.25" customHeight="1">
      <c r="A47" s="90" t="s">
        <v>114</v>
      </c>
      <c r="B47" s="38"/>
      <c r="C47" s="38"/>
      <c r="D47" s="38"/>
      <c r="E47" s="39"/>
      <c r="F47" s="38"/>
      <c r="G47" s="38"/>
      <c r="H47" s="38"/>
      <c r="I47" s="39"/>
      <c r="J47" s="43"/>
      <c r="K47" s="43"/>
      <c r="L47" s="43"/>
      <c r="M47" s="55"/>
      <c r="N47" s="43">
        <v>28.763300000000001</v>
      </c>
      <c r="O47" s="43">
        <v>19.106700000000004</v>
      </c>
      <c r="P47" s="43">
        <v>28.64</v>
      </c>
      <c r="Q47" s="43">
        <f>Q6</f>
        <v>22.953800000000015</v>
      </c>
      <c r="R47" s="43"/>
      <c r="S47" s="43"/>
      <c r="T47" s="43"/>
      <c r="U47" s="43"/>
      <c r="V47" s="43">
        <f t="shared" si="9"/>
        <v>99.46380000000002</v>
      </c>
    </row>
    <row r="48" spans="1:22" ht="17.25" customHeight="1">
      <c r="A48" s="81" t="s">
        <v>259</v>
      </c>
      <c r="B48" s="38"/>
      <c r="C48" s="38"/>
      <c r="D48" s="38"/>
      <c r="E48" s="39"/>
      <c r="F48" s="38"/>
      <c r="G48" s="38"/>
      <c r="H48" s="38"/>
      <c r="I48" s="39"/>
      <c r="J48" s="43">
        <f>J21</f>
        <v>0</v>
      </c>
      <c r="K48" s="43">
        <f>K21</f>
        <v>0</v>
      </c>
      <c r="L48" s="43">
        <v>3539.8</v>
      </c>
      <c r="M48" s="43">
        <v>-1517.55</v>
      </c>
      <c r="N48" s="43">
        <f>N21</f>
        <v>-103.7071878</v>
      </c>
      <c r="O48" s="43">
        <f t="shared" ref="O48:Q48" si="12">O21</f>
        <v>-76.932812200000015</v>
      </c>
      <c r="P48" s="43">
        <f t="shared" si="12"/>
        <v>-376.07309680000003</v>
      </c>
      <c r="Q48" s="43">
        <f t="shared" si="12"/>
        <v>-369.1</v>
      </c>
      <c r="R48" s="43"/>
      <c r="S48" s="43"/>
      <c r="T48" s="43"/>
      <c r="U48" s="43"/>
      <c r="V48" s="43">
        <f t="shared" si="9"/>
        <v>-925.81309680000004</v>
      </c>
    </row>
    <row r="49" spans="1:22" ht="17.25" customHeight="1">
      <c r="A49" s="82" t="s">
        <v>88</v>
      </c>
      <c r="B49" s="43"/>
      <c r="C49" s="43"/>
      <c r="D49" s="43"/>
      <c r="E49" s="55"/>
      <c r="F49" s="43"/>
      <c r="G49" s="43"/>
      <c r="H49" s="43"/>
      <c r="I49" s="55"/>
      <c r="J49" s="41">
        <f>SUM(J42:J47)</f>
        <v>179.22000000000003</v>
      </c>
      <c r="K49" s="41">
        <f>SUM(K42:K47)</f>
        <v>197.78000000000003</v>
      </c>
      <c r="L49" s="41">
        <f>SUM(L42:L48)</f>
        <v>3797.21</v>
      </c>
      <c r="M49" s="41">
        <f>SUM(M42:M48)</f>
        <v>1836.8500000000006</v>
      </c>
      <c r="N49" s="41">
        <f>SUM(N42:N48)</f>
        <v>29.716112199999984</v>
      </c>
      <c r="O49" s="41">
        <f t="shared" ref="O49:Q49" si="13">SUM(O42:O48)</f>
        <v>240.30150168687732</v>
      </c>
      <c r="P49" s="41">
        <f t="shared" si="13"/>
        <v>272.25220320000005</v>
      </c>
      <c r="Q49" s="41">
        <f t="shared" si="13"/>
        <v>531.32060902609203</v>
      </c>
      <c r="R49" s="41"/>
      <c r="S49" s="41"/>
      <c r="T49" s="41"/>
      <c r="U49" s="41">
        <f t="shared" si="11"/>
        <v>6011.06</v>
      </c>
      <c r="V49" s="41">
        <f t="shared" si="9"/>
        <v>1073.5904261129695</v>
      </c>
    </row>
    <row r="50" spans="1:22" s="44" customFormat="1" ht="17.25" customHeight="1">
      <c r="A50" s="83" t="s">
        <v>263</v>
      </c>
      <c r="B50" s="161"/>
      <c r="C50" s="161"/>
      <c r="D50" s="161"/>
      <c r="E50" s="162"/>
      <c r="F50" s="161"/>
      <c r="G50" s="161"/>
      <c r="H50" s="161"/>
      <c r="I50" s="162"/>
      <c r="J50" s="84">
        <f>'P&amp;L'!J19</f>
        <v>179.22000000000008</v>
      </c>
      <c r="K50" s="84">
        <f>'P&amp;L'!K19</f>
        <v>197.77999999999992</v>
      </c>
      <c r="L50" s="84">
        <f>'P&amp;L'!L19</f>
        <v>3797.21</v>
      </c>
      <c r="M50" s="85">
        <f>'P&amp;L'!M19</f>
        <v>1837.2800000000002</v>
      </c>
      <c r="N50" s="84">
        <f>'P&amp;L'!N19</f>
        <v>29.647131710663999</v>
      </c>
      <c r="O50" s="84">
        <f>'P&amp;L'!O19</f>
        <v>240.43601388687699</v>
      </c>
      <c r="P50" s="84">
        <f>'P&amp;L'!P19</f>
        <v>272.30529999999999</v>
      </c>
      <c r="Q50" s="84">
        <f>'P&amp;L'!Q19</f>
        <v>531.29060902609206</v>
      </c>
      <c r="R50" s="84"/>
      <c r="S50" s="84"/>
      <c r="T50" s="84"/>
      <c r="U50" s="84">
        <f>'P&amp;L'!U19</f>
        <v>6011.49</v>
      </c>
      <c r="V50" s="84">
        <f t="shared" si="9"/>
        <v>1073.679054623633</v>
      </c>
    </row>
    <row r="51" spans="1:22" s="91" customFormat="1" ht="17.25" customHeight="1">
      <c r="A51" s="83"/>
      <c r="B51" s="84"/>
      <c r="C51" s="84"/>
      <c r="D51" s="84"/>
      <c r="E51" s="85"/>
      <c r="F51" s="84"/>
      <c r="G51" s="84"/>
      <c r="H51" s="84"/>
      <c r="I51" s="85"/>
      <c r="J51" s="84"/>
      <c r="K51" s="84"/>
      <c r="L51" s="84"/>
      <c r="M51" s="85"/>
      <c r="N51" s="84"/>
      <c r="O51" s="84"/>
      <c r="P51" s="84"/>
      <c r="Q51" s="84"/>
      <c r="R51" s="84"/>
      <c r="S51" s="84"/>
      <c r="T51" s="84"/>
      <c r="U51" s="84"/>
      <c r="V51" s="84"/>
    </row>
    <row r="53" spans="1:22" ht="17.25" customHeight="1">
      <c r="M53" s="55"/>
    </row>
  </sheetData>
  <mergeCells count="5">
    <mergeCell ref="B1:E1"/>
    <mergeCell ref="F1:I1"/>
    <mergeCell ref="J1:M1"/>
    <mergeCell ref="U1:V1"/>
    <mergeCell ref="N1:R1"/>
  </mergeCells>
  <pageMargins left="0.7" right="0.7" top="0.75" bottom="0.75" header="0.3" footer="0.3"/>
  <pageSetup orientation="portrait" r:id="rId1"/>
  <ignoredErrors>
    <ignoredError sqref="U49:U50 U5:U7 U9:U21 U22:U23 U25:U47 V5 V45 V20:V23 V3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39396FF965141A716378A1710B833" ma:contentTypeVersion="21" ma:contentTypeDescription="Create a new document." ma:contentTypeScope="" ma:versionID="a906e741835f6013424b7f42462e8002">
  <xsd:schema xmlns:xsd="http://www.w3.org/2001/XMLSchema" xmlns:xs="http://www.w3.org/2001/XMLSchema" xmlns:p="http://schemas.microsoft.com/office/2006/metadata/properties" xmlns:ns2="7ca38327-4c7f-4290-a597-bedfffe4e350" xmlns:ns3="429a029a-06cc-47a7-8210-13381dc20ce2" targetNamespace="http://schemas.microsoft.com/office/2006/metadata/properties" ma:root="true" ma:fieldsID="4eb493cd166de6afb1a890faf3f20d6b" ns2:_="" ns3:_="">
    <xsd:import namespace="7ca38327-4c7f-4290-a597-bedfffe4e350"/>
    <xsd:import namespace="429a029a-06cc-47a7-8210-13381dc20c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38327-4c7f-4290-a597-bedfffe4e3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3097fba-0a56-49ea-a5b3-af72c87a3d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029a-06cc-47a7-8210-13381dc20ce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cb2017-ec9b-4d8e-9926-e01312779bbd}" ma:internalName="TaxCatchAll" ma:showField="CatchAllData" ma:web="429a029a-06cc-47a7-8210-13381dc20c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38327-4c7f-4290-a597-bedfffe4e350">
      <Terms xmlns="http://schemas.microsoft.com/office/infopath/2007/PartnerControls"/>
    </lcf76f155ced4ddcb4097134ff3c332f>
    <TaxCatchAll xmlns="429a029a-06cc-47a7-8210-13381dc20ce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2CAA91-4C86-4240-89F8-D30785D86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a38327-4c7f-4290-a597-bedfffe4e350"/>
    <ds:schemaRef ds:uri="429a029a-06cc-47a7-8210-13381dc20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164631-B6AE-47B3-ABFE-1EFEB003ED7A}">
  <ds:schemaRefs>
    <ds:schemaRef ds:uri="http://schemas.microsoft.com/office/2006/metadata/properties"/>
    <ds:schemaRef ds:uri="http://schemas.microsoft.com/office/infopath/2007/PartnerControls"/>
    <ds:schemaRef ds:uri="7ca38327-4c7f-4290-a597-bedfffe4e350"/>
    <ds:schemaRef ds:uri="429a029a-06cc-47a7-8210-13381dc20ce2"/>
  </ds:schemaRefs>
</ds:datastoreItem>
</file>

<file path=customXml/itemProps3.xml><?xml version="1.0" encoding="utf-8"?>
<ds:datastoreItem xmlns:ds="http://schemas.openxmlformats.org/officeDocument/2006/customXml" ds:itemID="{0960B743-1749-4BD7-A904-4E3D29200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Balance Sheet</vt:lpstr>
      <vt:lpstr>P&amp;L</vt:lpstr>
      <vt:lpstr>AUM</vt:lpstr>
      <vt:lpstr>Pro forma business wise P&amp;L</vt:lpstr>
      <vt:lpstr>Asset quality </vt:lpstr>
      <vt:lpstr>P&amp;L - SEBI Format</vt:lpstr>
      <vt:lpstr>P&amp;L Bridge</vt:lpstr>
      <vt:lpstr>Glossary</vt:lpstr>
      <vt:lpstr>Data_Key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2024-11-25T11:05:46Z</dcterms:created>
  <dcterms:modified xsi:type="dcterms:W3CDTF">2025-05-06T16:12:22Z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0x010100E5C39396FF965141A716378A1710B833</vt:lpwstr>
  </property>
  <property fmtid="{D5CDD505-2E9C-101B-9397-08002B2CF9AE}" pid="3" name="MediaServiceImageTags">
    <vt:lpwstr/>
  </property>
</Properties>
</file>